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75" windowWidth="8760" windowHeight="5550" tabRatio="601" firstSheet="5" activeTab="12"/>
  </bookViews>
  <sheets>
    <sheet name="January 03" sheetId="1" r:id="rId1"/>
    <sheet name="February 03" sheetId="2" r:id="rId2"/>
    <sheet name="March 03" sheetId="3" r:id="rId3"/>
    <sheet name="April 03" sheetId="4" r:id="rId4"/>
    <sheet name="May 03" sheetId="5" r:id="rId5"/>
    <sheet name="June 03" sheetId="6" r:id="rId6"/>
    <sheet name="July 03" sheetId="7" r:id="rId7"/>
    <sheet name="August 03" sheetId="8" r:id="rId8"/>
    <sheet name="September 03" sheetId="9" r:id="rId9"/>
    <sheet name="October 03" sheetId="10" r:id="rId10"/>
    <sheet name="November 03" sheetId="11" r:id="rId11"/>
    <sheet name="December 03" sheetId="12" r:id="rId12"/>
    <sheet name="Annual 03" sheetId="13" r:id="rId13"/>
  </sheets>
  <definedNames>
    <definedName name="_xlnm.Print_Area" localSheetId="12">'Annual 03'!$A$1:$W$158</definedName>
    <definedName name="_xlnm.Print_Area" localSheetId="3">'April 03'!$A$1:$CO$51</definedName>
    <definedName name="_xlnm.Print_Area" localSheetId="7">'August 03'!$A$1:$CO$56</definedName>
    <definedName name="_xlnm.Print_Area" localSheetId="11">'December 03'!$A$1:$CO$56</definedName>
    <definedName name="_xlnm.Print_Area" localSheetId="1">'February 03'!$A$1:$CO$51</definedName>
    <definedName name="_xlnm.Print_Area" localSheetId="0">'January 03'!$A$1:$CO$51</definedName>
    <definedName name="_xlnm.Print_Area" localSheetId="6">'July 03'!$A$1:$CO$56</definedName>
    <definedName name="_xlnm.Print_Area" localSheetId="5">'June 03'!$A$1:$CO$56</definedName>
    <definedName name="_xlnm.Print_Area" localSheetId="2">'March 03'!$A$1:$CO$51</definedName>
    <definedName name="_xlnm.Print_Area" localSheetId="4">'May 03'!$A$1:$CO$56</definedName>
    <definedName name="_xlnm.Print_Area" localSheetId="10">'November 03'!$A$1:$CO$56</definedName>
    <definedName name="_xlnm.Print_Area" localSheetId="9">'October 03'!$A$1:$CO$56</definedName>
    <definedName name="_xlnm.Print_Area" localSheetId="8">'September 03'!$A$1:$CO$56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<sst xmlns="http://schemas.openxmlformats.org/spreadsheetml/2006/main" count="6177" uniqueCount="238">
  <si>
    <t>BRUNSWICK SEWER DISTRICT</t>
  </si>
  <si>
    <t>FLOW</t>
  </si>
  <si>
    <t xml:space="preserve"> </t>
  </si>
  <si>
    <t>WEATHER</t>
  </si>
  <si>
    <t>F</t>
  </si>
  <si>
    <t>DISINFECTION</t>
  </si>
  <si>
    <t>P.H.</t>
  </si>
  <si>
    <t>TEMPERATURE</t>
  </si>
  <si>
    <t xml:space="preserve">SETTLEABLE </t>
  </si>
  <si>
    <t>SOLIDS</t>
  </si>
  <si>
    <t>O</t>
  </si>
  <si>
    <t>R</t>
  </si>
  <si>
    <t>S</t>
  </si>
  <si>
    <t>E</t>
  </si>
  <si>
    <t>A</t>
  </si>
  <si>
    <t>N</t>
  </si>
  <si>
    <t>BIOCHEMICAL OXYGEN DEMAND</t>
  </si>
  <si>
    <t>CBOD</t>
  </si>
  <si>
    <t>TOTAL SUSPENDED SOLIDS</t>
  </si>
  <si>
    <t>LOADING</t>
  </si>
  <si>
    <t>CONCENTRATION</t>
  </si>
  <si>
    <t>TSS</t>
  </si>
  <si>
    <t>SETTLEABLE</t>
  </si>
  <si>
    <t>GR</t>
  </si>
  <si>
    <t>99/99</t>
  </si>
  <si>
    <t>RC</t>
  </si>
  <si>
    <t>CA</t>
  </si>
  <si>
    <t>BOD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</si>
  <si>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</si>
  <si>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</si>
  <si>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</si>
  <si>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</si>
  <si>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</si>
  <si>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</si>
  <si>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</si>
  <si>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</si>
  <si>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</si>
  <si>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</si>
  <si>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</si>
  <si>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</si>
  <si>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(mg)</t>
  </si>
  <si>
    <t>(mgd)</t>
  </si>
  <si>
    <t>GRIT</t>
  </si>
  <si>
    <t>(s.u.)</t>
  </si>
  <si>
    <t>(mg/L)</t>
  </si>
  <si>
    <t>(lbs)</t>
  </si>
  <si>
    <t>SLUDGE DEWATERING</t>
  </si>
  <si>
    <t>03/07</t>
  </si>
  <si>
    <t>01/01</t>
  </si>
  <si>
    <t>01/30</t>
  </si>
  <si>
    <t>Francis E. McVey</t>
  </si>
  <si>
    <t>General Manager</t>
  </si>
  <si>
    <t>Total</t>
  </si>
  <si>
    <t>Maximum</t>
  </si>
  <si>
    <t>Minimum</t>
  </si>
  <si>
    <t>Totalizer</t>
  </si>
  <si>
    <t>Flow</t>
  </si>
  <si>
    <t>Holding</t>
  </si>
  <si>
    <t>Septic</t>
  </si>
  <si>
    <t>Date</t>
  </si>
  <si>
    <t>Reading</t>
  </si>
  <si>
    <t>Treated</t>
  </si>
  <si>
    <t>(instant.)</t>
  </si>
  <si>
    <t>By-passed</t>
  </si>
  <si>
    <t>Received</t>
  </si>
  <si>
    <t>Added</t>
  </si>
  <si>
    <t>Conditions</t>
  </si>
  <si>
    <t>Average</t>
  </si>
  <si>
    <t>Precip.</t>
  </si>
  <si>
    <t>Grit</t>
  </si>
  <si>
    <t>Temp.</t>
  </si>
  <si>
    <t>Removed</t>
  </si>
  <si>
    <t>(MG)</t>
  </si>
  <si>
    <t>(gallons)</t>
  </si>
  <si>
    <t>(deg. F.)</t>
  </si>
  <si>
    <t>(inches)</t>
  </si>
  <si>
    <t>(cu. yd.)</t>
  </si>
  <si>
    <t>chlorite</t>
  </si>
  <si>
    <t>Used</t>
  </si>
  <si>
    <t>Hypo -</t>
  </si>
  <si>
    <t>Chlorine</t>
  </si>
  <si>
    <t>Residual</t>
  </si>
  <si>
    <t>E. Coli</t>
  </si>
  <si>
    <t>(#/100)</t>
  </si>
  <si>
    <t>Influent</t>
  </si>
  <si>
    <t>Primary</t>
  </si>
  <si>
    <t>Effluent</t>
  </si>
  <si>
    <t>(deg. C.)</t>
  </si>
  <si>
    <t>(ml/L)</t>
  </si>
  <si>
    <t xml:space="preserve">Certifying Official:  </t>
  </si>
  <si>
    <t xml:space="preserve">Geometric Mean :  </t>
  </si>
  <si>
    <t>Maxim.</t>
  </si>
  <si>
    <t>Minim.</t>
  </si>
  <si>
    <t>(%)</t>
  </si>
  <si>
    <t>(hours)</t>
  </si>
  <si>
    <t>Stored</t>
  </si>
  <si>
    <t>or</t>
  </si>
  <si>
    <t>Spread</t>
  </si>
  <si>
    <t>Site</t>
  </si>
  <si>
    <t>SLUDGE UTILIZATION</t>
  </si>
  <si>
    <t>Quantity</t>
  </si>
  <si>
    <t>Utilized</t>
  </si>
  <si>
    <t>Dewatered</t>
  </si>
  <si>
    <t>Feed</t>
  </si>
  <si>
    <t>Solids</t>
  </si>
  <si>
    <t>Filter</t>
  </si>
  <si>
    <t>Operation</t>
  </si>
  <si>
    <t>Polymer</t>
  </si>
  <si>
    <t>Cake</t>
  </si>
  <si>
    <t>Dry Solid</t>
  </si>
  <si>
    <t>Lime</t>
  </si>
  <si>
    <t>pH</t>
  </si>
  <si>
    <t>Sludge</t>
  </si>
  <si>
    <t>Percent Removal :</t>
  </si>
  <si>
    <t>January</t>
  </si>
  <si>
    <t>Page  2.</t>
  </si>
  <si>
    <t>SUMMARY DATA</t>
  </si>
  <si>
    <t>BOD, 5-day</t>
  </si>
  <si>
    <t>% removal</t>
  </si>
  <si>
    <t>Frequency</t>
  </si>
  <si>
    <t>Sample</t>
  </si>
  <si>
    <t>Type</t>
  </si>
  <si>
    <t>Exceptions</t>
  </si>
  <si>
    <t>Units</t>
  </si>
  <si>
    <t>Monthly</t>
  </si>
  <si>
    <t>Daily</t>
  </si>
  <si>
    <t>(lbs / day)</t>
  </si>
  <si>
    <t>(MGD)</t>
  </si>
  <si>
    <t>(mg / L)</t>
  </si>
  <si>
    <t>(percent)</t>
  </si>
  <si>
    <t xml:space="preserve">Reporting :  </t>
  </si>
  <si>
    <t xml:space="preserve">Permit :  </t>
  </si>
  <si>
    <t>Mo Aver</t>
  </si>
  <si>
    <t>High Wkly</t>
  </si>
  <si>
    <t>SETTLEABLE SOLIDS</t>
  </si>
  <si>
    <t>REPORTING</t>
  </si>
  <si>
    <t>Page  3.</t>
  </si>
  <si>
    <t>N.P.D.E.S. Permit Number ME 0100102</t>
  </si>
  <si>
    <t>Week 1</t>
  </si>
  <si>
    <t>Week 2</t>
  </si>
  <si>
    <t>Week 3</t>
  </si>
  <si>
    <t>Week 4</t>
  </si>
  <si>
    <t>Week 5</t>
  </si>
  <si>
    <t>High Weekly Average</t>
  </si>
  <si>
    <t>HIGH  WEEKLY AVERAGE VALUES</t>
  </si>
  <si>
    <t>%  Removal</t>
  </si>
  <si>
    <t>(Report)</t>
  </si>
  <si>
    <t>Discharge Monthly Report :</t>
  </si>
  <si>
    <t>State Discharge License Number W 002600-5L-C-R</t>
  </si>
  <si>
    <t>check formulas for designation of weeks</t>
  </si>
  <si>
    <t>-</t>
  </si>
  <si>
    <t>identifies cell for keyed data entry</t>
  </si>
  <si>
    <t>February</t>
  </si>
  <si>
    <t>Gregory H. Thulen</t>
  </si>
  <si>
    <t>Treatment Operations Division Supervisor</t>
  </si>
  <si>
    <t>Page  1.</t>
  </si>
  <si>
    <t>A       N       N       U       A       L</t>
  </si>
  <si>
    <t>Parameter</t>
  </si>
  <si>
    <t>Function</t>
  </si>
  <si>
    <t>PLANT FLOW</t>
  </si>
  <si>
    <t>total</t>
  </si>
  <si>
    <t>total; average</t>
  </si>
  <si>
    <t>maximum</t>
  </si>
  <si>
    <t>max</t>
  </si>
  <si>
    <t>average</t>
  </si>
  <si>
    <t>minimum</t>
  </si>
  <si>
    <t>min</t>
  </si>
  <si>
    <t>HOLDING WASTE</t>
  </si>
  <si>
    <t>total received</t>
  </si>
  <si>
    <t>SEPTIC WASTE</t>
  </si>
  <si>
    <t>total removed</t>
  </si>
  <si>
    <t>(cubic yards)</t>
  </si>
  <si>
    <t>total; per month</t>
  </si>
  <si>
    <t>hypochlorite</t>
  </si>
  <si>
    <t>(pounds)</t>
  </si>
  <si>
    <t>(std units)</t>
  </si>
  <si>
    <t>(degrees C.)</t>
  </si>
  <si>
    <t>(ml / l)</t>
  </si>
  <si>
    <t>(mg / l)</t>
  </si>
  <si>
    <t>removal</t>
  </si>
  <si>
    <t>total volume</t>
  </si>
  <si>
    <t>monthly average</t>
  </si>
  <si>
    <t>Feed solids</t>
  </si>
  <si>
    <t>Press run time</t>
  </si>
  <si>
    <t>(hours / wk)</t>
  </si>
  <si>
    <t>total added</t>
  </si>
  <si>
    <t>(pounds / wk)</t>
  </si>
  <si>
    <t>Cake solids</t>
  </si>
  <si>
    <t>Generated</t>
  </si>
  <si>
    <t>(cu. yd.  / wk)</t>
  </si>
  <si>
    <t>June</t>
  </si>
  <si>
    <t>OFF FOR SEASON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</si>
  <si>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</si>
  <si>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</si>
  <si>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</si>
  <si>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</si>
  <si>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</si>
  <si>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</si>
  <si>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</si>
  <si>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</si>
  <si>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</si>
  <si>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*</t>
  </si>
  <si>
    <t>E.COLI</t>
  </si>
  <si>
    <t xml:space="preserve"> -</t>
  </si>
  <si>
    <t>(1/100ML)</t>
  </si>
  <si>
    <t xml:space="preserve"> 03/07</t>
  </si>
  <si>
    <t>CHLORINE</t>
  </si>
  <si>
    <t xml:space="preserve"> 02/01</t>
  </si>
  <si>
    <t>CLOUDY</t>
  </si>
  <si>
    <t>SNOW</t>
  </si>
  <si>
    <t>CLEAR</t>
  </si>
  <si>
    <t>Compost</t>
  </si>
  <si>
    <t>Hawk Ridge</t>
  </si>
  <si>
    <t>RAIN</t>
  </si>
  <si>
    <t>&lt;10</t>
  </si>
  <si>
    <t>Operator error sample tubing not in water.</t>
  </si>
  <si>
    <t>Unfavorable ambient laboratory conditions relating to temperature may have corrupted results of BOD testing of samples taken on 13 June and 20 June 2003.</t>
  </si>
  <si>
    <t>BOD dilution water blanks depleted &gt;0.2mg/L.  Dilution water supersaturated.  Unfavorable ambient laboratory conditions have since been corrected.</t>
  </si>
  <si>
    <t>**</t>
  </si>
  <si>
    <t>***</t>
  </si>
  <si>
    <t>Effluent composite contains 2 hours non-chlorinated effluent out of 24 hour composite</t>
  </si>
  <si>
    <t xml:space="preserve">** </t>
  </si>
  <si>
    <t>CBOD sample depleted to &lt;1.0 mg/L</t>
  </si>
  <si>
    <t>Adjusted CBOD, sample did not deplete &gt;2.0 mg/L</t>
  </si>
  <si>
    <t>Egypt</t>
  </si>
  <si>
    <t>Store</t>
  </si>
  <si>
    <t>EGYPT</t>
  </si>
  <si>
    <t>STORE</t>
  </si>
  <si>
    <t>LT RAIN</t>
  </si>
  <si>
    <t>HAWK RIDGE</t>
  </si>
  <si>
    <t>COMPOST</t>
  </si>
  <si>
    <t xml:space="preserve">HAWK RIDGE </t>
  </si>
  <si>
    <t>Annual Report of Treatment Operations:  2003.</t>
  </si>
  <si>
    <t>file:</t>
  </si>
  <si>
    <t>(gallons / day)</t>
  </si>
  <si>
    <t>(at 5.5 days / week)</t>
  </si>
  <si>
    <t>Composted.</t>
  </si>
  <si>
    <t>(hours / yr)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</si>
</sst>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/d"/>
    <numFmt numFmtId="167" formatCode="0.00000"/>
    <numFmt numFmtId="168" formatCode="0.0000"/>
    <numFmt numFmtId="169" formatCode="#,##0.000"/>
    <numFmt numFmtId="170" formatCode="#,##0.0"/>
    <numFmt numFmtId="171" formatCode="00000"/>
    <numFmt numFmtId="172" formatCode="#,##0.0000"/>
    <numFmt numFmtId="173" formatCode="#,##0.00000"/>
    <numFmt numFmtId="174" formatCode="#,##0.000000"/>
    <numFmt numFmtId="175" formatCode="#,##0.0000000"/>
    <numFmt numFmtId="176" formatCode="0.0000000"/>
    <numFmt numFmtId="177" formatCode="0.000000"/>
    <numFmt numFmtId="178" formatCode="0;\-0;;@"/>
    <numFmt numFmtId="179" formatCode="0.000;\-0;;@"/>
    <numFmt numFmtId="180" formatCode="0.00;\-0;;@"/>
    <numFmt numFmtId="181" formatCode="0.0;\-0;;@"/>
    <numFmt numFmtId="182" formatCode="0.000_)"/>
    <numFmt numFmtId="183" formatCode="#,##0.000_);\(#,##0.000\)"/>
    <numFmt numFmtId="184" formatCode="0.0_)"/>
    <numFmt numFmtId="185" formatCode="0_)"/>
    <numFmt numFmtId="186" formatCode="0.00_)"/>
    <numFmt numFmtId="187" formatCode="_(* #,##0.000_);_(* \(#,##0.000\);_(* &quot;-&quot;??_);_(@_)"/>
    <numFmt numFmtId="188" formatCode="0.00000000"/>
    <numFmt numFmtId="189" formatCode="_(* #,##0.0_);_(* \(#,##0.0\);_(* &quot;-&quot;??_);_(@_)"/>
    <numFmt numFmtId="190" formatCode="_(* #,##0_);_(* \(#,##0\);_(* &quot;-&quot;??_);_(@_)"/>
    <numFmt numFmtId="191" formatCode="0.00;\-0.0;;@"/>
    <numFmt numFmtId="192" formatCode="0.00;\-0.00;;@"/>
    <numFmt numFmtId="193" formatCode="0.00;\-0.000;;@"/>
    <numFmt numFmtId="194" formatCode="0.00;\-0.0000;;@"/>
    <numFmt numFmtId="195" formatCode="0."/>
    <numFmt numFmtId="196" formatCode="0.000;\-0.0;;@"/>
  </numFmts>
  <fonts count="15">
    <font>
      <sz val="10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u val="single"/>
      <sz val="10"/>
      <name val="Bookman Old Style"/>
      <family val="1"/>
    </font>
    <font>
      <b/>
      <sz val="14"/>
      <name val="Arial"/>
      <family val="2"/>
    </font>
    <font>
      <i/>
      <sz val="10"/>
      <name val="Arial"/>
      <family val="2"/>
    </font>
    <font>
      <sz val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169" fontId="0" fillId="0" borderId="6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170" fontId="0" fillId="0" borderId="6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 horizontal="right"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 quotePrefix="1">
      <alignment horizontal="right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applyProtection="1">
      <alignment/>
      <protection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170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170" fontId="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 applyProtection="1">
      <alignment/>
      <protection locked="0"/>
    </xf>
    <xf numFmtId="170" fontId="0" fillId="0" borderId="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 applyProtection="1">
      <alignment/>
      <protection locked="0"/>
    </xf>
    <xf numFmtId="170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0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170" fontId="0" fillId="0" borderId="14" xfId="0" applyNumberFormat="1" applyFont="1" applyFill="1" applyBorder="1" applyAlignment="1" applyProtection="1">
      <alignment horizontal="right"/>
      <protection locked="0"/>
    </xf>
    <xf numFmtId="170" fontId="0" fillId="0" borderId="10" xfId="0" applyNumberFormat="1" applyFont="1" applyFill="1" applyBorder="1" applyAlignment="1" applyProtection="1">
      <alignment/>
      <protection locked="0"/>
    </xf>
    <xf numFmtId="170" fontId="0" fillId="0" borderId="6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70" fontId="0" fillId="0" borderId="6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170" fontId="0" fillId="0" borderId="10" xfId="0" applyNumberFormat="1" applyFont="1" applyFill="1" applyBorder="1" applyAlignment="1" applyProtection="1">
      <alignment horizontal="right"/>
      <protection locked="0"/>
    </xf>
    <xf numFmtId="170" fontId="0" fillId="0" borderId="6" xfId="0" applyNumberFormat="1" applyFont="1" applyFill="1" applyBorder="1" applyAlignment="1" applyProtection="1">
      <alignment horizontal="right"/>
      <protection locked="0"/>
    </xf>
    <xf numFmtId="17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righ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Alignment="1" applyProtection="1">
      <alignment horizontal="right"/>
      <protection locked="0"/>
    </xf>
    <xf numFmtId="179" fontId="0" fillId="0" borderId="4" xfId="0" applyNumberFormat="1" applyFont="1" applyFill="1" applyBorder="1" applyAlignment="1" applyProtection="1">
      <alignment horizontal="right"/>
      <protection locked="0"/>
    </xf>
    <xf numFmtId="179" fontId="0" fillId="0" borderId="6" xfId="0" applyNumberFormat="1" applyFont="1" applyFill="1" applyBorder="1" applyAlignment="1" applyProtection="1">
      <alignment horizontal="right"/>
      <protection locked="0"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 quotePrefix="1">
      <alignment horizontal="right"/>
      <protection locked="0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right"/>
      <protection locked="0"/>
    </xf>
    <xf numFmtId="166" fontId="0" fillId="2" borderId="0" xfId="0" applyNumberFormat="1" applyFont="1" applyFill="1" applyBorder="1" applyAlignment="1" applyProtection="1" quotePrefix="1">
      <alignment horizontal="right"/>
      <protection locked="0"/>
    </xf>
    <xf numFmtId="165" fontId="0" fillId="2" borderId="0" xfId="0" applyNumberFormat="1" applyFont="1" applyFill="1" applyBorder="1" applyAlignment="1" applyProtection="1">
      <alignment horizontal="right"/>
      <protection locked="0"/>
    </xf>
    <xf numFmtId="169" fontId="0" fillId="2" borderId="0" xfId="0" applyNumberFormat="1" applyFont="1" applyFill="1" applyBorder="1" applyAlignment="1" applyProtection="1">
      <alignment horizontal="right"/>
      <protection locked="0"/>
    </xf>
    <xf numFmtId="166" fontId="0" fillId="2" borderId="0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195" fontId="3" fillId="0" borderId="0" xfId="0" applyNumberFormat="1" applyFont="1" applyFill="1" applyAlignment="1" applyProtection="1">
      <alignment horizontal="left"/>
      <protection/>
    </xf>
    <xf numFmtId="3" fontId="5" fillId="0" borderId="6" xfId="0" applyNumberFormat="1" applyFont="1" applyFill="1" applyBorder="1" applyAlignment="1" applyProtection="1">
      <alignment horizontal="right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5" fillId="0" borderId="6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 horizontal="right"/>
      <protection/>
    </xf>
    <xf numFmtId="170" fontId="0" fillId="0" borderId="6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0" fillId="0" borderId="8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70" fontId="0" fillId="0" borderId="8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170" fontId="0" fillId="0" borderId="8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169" fontId="5" fillId="0" borderId="7" xfId="0" applyNumberFormat="1" applyFont="1" applyFill="1" applyBorder="1" applyAlignment="1" applyProtection="1">
      <alignment horizontal="right"/>
      <protection/>
    </xf>
    <xf numFmtId="169" fontId="5" fillId="0" borderId="9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2" fontId="5" fillId="0" borderId="7" xfId="0" applyNumberFormat="1" applyFont="1" applyFill="1" applyBorder="1" applyAlignment="1" applyProtection="1">
      <alignment horizontal="right"/>
      <protection/>
    </xf>
    <xf numFmtId="170" fontId="5" fillId="0" borderId="8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>
      <alignment horizontal="right"/>
      <protection/>
    </xf>
    <xf numFmtId="4" fontId="5" fillId="0" borderId="8" xfId="0" applyNumberFormat="1" applyFont="1" applyFill="1" applyBorder="1" applyAlignment="1" applyProtection="1">
      <alignment horizontal="right"/>
      <protection/>
    </xf>
    <xf numFmtId="3" fontId="5" fillId="0" borderId="9" xfId="0" applyNumberFormat="1" applyFont="1" applyFill="1" applyBorder="1" applyAlignment="1" applyProtection="1">
      <alignment horizontal="right"/>
      <protection/>
    </xf>
    <xf numFmtId="170" fontId="5" fillId="0" borderId="7" xfId="0" applyNumberFormat="1" applyFont="1" applyFill="1" applyBorder="1" applyAlignment="1" applyProtection="1">
      <alignment horizontal="right"/>
      <protection/>
    </xf>
    <xf numFmtId="170" fontId="5" fillId="0" borderId="9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/>
    </xf>
    <xf numFmtId="3" fontId="5" fillId="0" borderId="8" xfId="0" applyNumberFormat="1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170" fontId="0" fillId="0" borderId="9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 locked="0"/>
    </xf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9" xfId="0" applyNumberFormat="1" applyFont="1" applyFill="1" applyBorder="1" applyAlignment="1" applyProtection="1">
      <alignment horizontal="right"/>
      <protection/>
    </xf>
    <xf numFmtId="169" fontId="0" fillId="0" borderId="10" xfId="0" applyNumberFormat="1" applyFont="1" applyFill="1" applyBorder="1" applyAlignment="1" applyProtection="1">
      <alignment horizontal="right"/>
      <protection/>
    </xf>
    <xf numFmtId="169" fontId="0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170" fontId="5" fillId="0" borderId="14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170" fontId="0" fillId="0" borderId="11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0" fontId="5" fillId="0" borderId="11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169" fontId="0" fillId="0" borderId="7" xfId="0" applyNumberFormat="1" applyFont="1" applyFill="1" applyBorder="1" applyAlignment="1" applyProtection="1">
      <alignment horizontal="right"/>
      <protection/>
    </xf>
    <xf numFmtId="169" fontId="0" fillId="0" borderId="9" xfId="0" applyNumberFormat="1" applyFont="1" applyFill="1" applyBorder="1" applyAlignment="1" applyProtection="1">
      <alignment horizontal="right"/>
      <protection/>
    </xf>
    <xf numFmtId="170" fontId="5" fillId="0" borderId="12" xfId="0" applyNumberFormat="1" applyFont="1" applyFill="1" applyBorder="1" applyAlignment="1" applyProtection="1">
      <alignment horizontal="right"/>
      <protection/>
    </xf>
    <xf numFmtId="170" fontId="0" fillId="0" borderId="7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 locked="0"/>
    </xf>
    <xf numFmtId="4" fontId="5" fillId="0" borderId="6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right"/>
      <protection/>
    </xf>
    <xf numFmtId="164" fontId="8" fillId="0" borderId="0" xfId="15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0" fontId="8" fillId="0" borderId="0" xfId="0" applyNumberFormat="1" applyFont="1" applyFill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187" fontId="8" fillId="0" borderId="0" xfId="15" applyNumberFormat="1" applyFont="1" applyFill="1" applyAlignment="1">
      <alignment horizontal="right"/>
    </xf>
    <xf numFmtId="3" fontId="8" fillId="0" borderId="0" xfId="15" applyNumberFormat="1" applyFont="1" applyFill="1" applyAlignment="1">
      <alignment horizontal="right"/>
    </xf>
    <xf numFmtId="170" fontId="8" fillId="0" borderId="0" xfId="15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4" fontId="8" fillId="0" borderId="0" xfId="15" applyNumberFormat="1" applyFont="1" applyFill="1" applyAlignment="1">
      <alignment horizontal="right"/>
    </xf>
    <xf numFmtId="170" fontId="8" fillId="0" borderId="0" xfId="15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6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 quotePrefix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Border="1" applyAlignment="1" applyProtection="1">
      <alignment horizontal="right"/>
      <protection/>
    </xf>
    <xf numFmtId="2" fontId="5" fillId="2" borderId="0" xfId="0" applyNumberFormat="1" applyFont="1" applyFill="1" applyBorder="1" applyAlignment="1" applyProtection="1">
      <alignment horizontal="right"/>
      <protection/>
    </xf>
    <xf numFmtId="166" fontId="0" fillId="2" borderId="0" xfId="0" applyNumberFormat="1" applyFont="1" applyFill="1" applyBorder="1" applyAlignment="1" applyProtection="1" quotePrefix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69" fontId="0" fillId="2" borderId="0" xfId="0" applyNumberFormat="1" applyFont="1" applyFill="1" applyBorder="1" applyAlignment="1" applyProtection="1">
      <alignment horizontal="right"/>
      <protection/>
    </xf>
    <xf numFmtId="166" fontId="0" fillId="2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2" fontId="0" fillId="2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64" fontId="8" fillId="0" borderId="15" xfId="15" applyNumberFormat="1" applyFont="1" applyFill="1" applyBorder="1" applyAlignment="1">
      <alignment horizontal="right"/>
    </xf>
    <xf numFmtId="43" fontId="8" fillId="0" borderId="15" xfId="15" applyFont="1" applyFill="1" applyBorder="1" applyAlignment="1">
      <alignment horizontal="right"/>
    </xf>
    <xf numFmtId="164" fontId="8" fillId="3" borderId="0" xfId="15" applyNumberFormat="1" applyFont="1" applyFill="1" applyAlignment="1">
      <alignment horizontal="right"/>
    </xf>
    <xf numFmtId="3" fontId="8" fillId="0" borderId="15" xfId="15" applyNumberFormat="1" applyFont="1" applyFill="1" applyBorder="1" applyAlignment="1">
      <alignment horizontal="right"/>
    </xf>
    <xf numFmtId="3" fontId="8" fillId="0" borderId="16" xfId="15" applyNumberFormat="1" applyFont="1" applyFill="1" applyBorder="1" applyAlignment="1">
      <alignment horizontal="right"/>
    </xf>
    <xf numFmtId="3" fontId="8" fillId="0" borderId="17" xfId="15" applyNumberFormat="1" applyFont="1" applyFill="1" applyBorder="1" applyAlignment="1">
      <alignment horizontal="right"/>
    </xf>
    <xf numFmtId="3" fontId="8" fillId="3" borderId="0" xfId="15" applyNumberFormat="1" applyFont="1" applyFill="1" applyAlignment="1">
      <alignment horizontal="right"/>
    </xf>
    <xf numFmtId="170" fontId="8" fillId="0" borderId="15" xfId="15" applyNumberFormat="1" applyFont="1" applyFill="1" applyBorder="1" applyAlignment="1">
      <alignment horizontal="right"/>
    </xf>
    <xf numFmtId="170" fontId="8" fillId="0" borderId="16" xfId="15" applyNumberFormat="1" applyFont="1" applyFill="1" applyBorder="1" applyAlignment="1">
      <alignment horizontal="right"/>
    </xf>
    <xf numFmtId="170" fontId="8" fillId="0" borderId="18" xfId="15" applyNumberFormat="1" applyFont="1" applyFill="1" applyBorder="1" applyAlignment="1">
      <alignment horizontal="right"/>
    </xf>
    <xf numFmtId="170" fontId="8" fillId="0" borderId="17" xfId="15" applyNumberFormat="1" applyFont="1" applyFill="1" applyBorder="1" applyAlignment="1">
      <alignment horizontal="right"/>
    </xf>
    <xf numFmtId="3" fontId="8" fillId="0" borderId="18" xfId="15" applyNumberFormat="1" applyFont="1" applyFill="1" applyBorder="1" applyAlignment="1">
      <alignment horizontal="right"/>
    </xf>
    <xf numFmtId="4" fontId="8" fillId="0" borderId="15" xfId="15" applyNumberFormat="1" applyFont="1" applyFill="1" applyBorder="1" applyAlignment="1">
      <alignment horizontal="right"/>
    </xf>
    <xf numFmtId="43" fontId="8" fillId="0" borderId="0" xfId="15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8" fillId="3" borderId="0" xfId="15" applyNumberFormat="1" applyFont="1" applyFill="1" applyAlignment="1">
      <alignment horizontal="right"/>
    </xf>
    <xf numFmtId="43" fontId="8" fillId="3" borderId="0" xfId="15" applyNumberFormat="1" applyFont="1" applyFill="1" applyAlignment="1">
      <alignment horizontal="right"/>
    </xf>
    <xf numFmtId="4" fontId="8" fillId="3" borderId="0" xfId="15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4" fontId="0" fillId="0" borderId="3" xfId="0" applyNumberFormat="1" applyFont="1" applyFill="1" applyBorder="1" applyAlignment="1" applyProtection="1">
      <alignment horizontal="center"/>
      <protection/>
    </xf>
    <xf numFmtId="4" fontId="0" fillId="0" borderId="4" xfId="0" applyNumberFormat="1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3" fontId="2" fillId="0" borderId="5" xfId="0" applyNumberFormat="1" applyFont="1" applyFill="1" applyBorder="1" applyAlignment="1" applyProtection="1">
      <alignment horizontal="center" vertical="center" textRotation="255"/>
      <protection locked="0"/>
    </xf>
    <xf numFmtId="2" fontId="0" fillId="0" borderId="3" xfId="0" applyNumberFormat="1" applyFont="1" applyFill="1" applyBorder="1" applyAlignment="1" applyProtection="1">
      <alignment horizontal="center"/>
      <protection/>
    </xf>
    <xf numFmtId="2" fontId="0" fillId="0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114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January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January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1">
        <v>1502584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5">
        <v>1504805</v>
      </c>
      <c r="D12" s="138">
        <f aca="true" t="shared" si="0" ref="D12:D42">(IF(C12=0," ",((C12-C11)/1000)))</f>
        <v>2.221</v>
      </c>
      <c r="E12" s="140">
        <v>3.6</v>
      </c>
      <c r="F12" s="141">
        <v>0.7</v>
      </c>
      <c r="G12" s="81" t="str">
        <f aca="true" t="shared" si="1" ref="G12:G42">(IF(C12=0," ","0.00"))</f>
        <v>0.00</v>
      </c>
      <c r="H12" s="85">
        <v>0</v>
      </c>
      <c r="I12" s="86">
        <v>0</v>
      </c>
      <c r="K12" s="87" t="s">
        <v>208</v>
      </c>
      <c r="L12" s="85">
        <v>32</v>
      </c>
      <c r="M12" s="88">
        <v>0.09</v>
      </c>
      <c r="O12" s="89"/>
      <c r="Q12" s="90"/>
      <c r="R12" s="91"/>
      <c r="S12" s="92"/>
      <c r="U12" s="93">
        <v>6.8</v>
      </c>
      <c r="V12" s="94">
        <v>7.1</v>
      </c>
      <c r="W12" s="95">
        <v>6.7</v>
      </c>
      <c r="Y12" s="90">
        <v>12</v>
      </c>
      <c r="Z12" s="96">
        <v>11</v>
      </c>
      <c r="AA12" s="92">
        <v>8</v>
      </c>
      <c r="AC12" s="93">
        <v>3</v>
      </c>
      <c r="AD12" s="91">
        <v>0.01</v>
      </c>
      <c r="AE12" s="97">
        <v>0</v>
      </c>
      <c r="AG12" s="45">
        <f aca="true" t="shared" si="2" ref="AG12:AG42">($A12)</f>
        <v>1</v>
      </c>
      <c r="AI12" s="98"/>
      <c r="AJ12" s="55">
        <f aca="true" t="shared" si="3" ref="AJ12:AJ42">IF(AI12=0,"",(D12*AI12*8.34))</f>
      </c>
      <c r="AK12" s="98"/>
      <c r="AL12" s="55">
        <f aca="true" t="shared" si="4" ref="AL12:AL42">IF(AK12=0,"",(D12*AK12*8.34))</f>
      </c>
      <c r="AM12" s="98"/>
      <c r="AN12" s="55">
        <f aca="true" t="shared" si="5" ref="AN12:AN42">IF(AM12=0,"",(D12*AM12*8.34))</f>
      </c>
      <c r="AO12" s="99"/>
      <c r="AQ12" s="100"/>
      <c r="AR12" s="55">
        <f aca="true" t="shared" si="6" ref="AR12:AR42">IF(AQ12=0,"",(D12*AQ12*8.34))</f>
      </c>
      <c r="AS12" s="98"/>
      <c r="AT12" s="55">
        <f aca="true" t="shared" si="7" ref="AT12:AT42">IF(AS12=0,"",(D12*AS12*8.34))</f>
      </c>
      <c r="AU12" s="98"/>
      <c r="AV12" s="55">
        <f aca="true" t="shared" si="8" ref="AV12:AV42">IF(AU12=0,"",(D12*AU12*8.34))</f>
      </c>
      <c r="AX12" s="100"/>
      <c r="AY12" s="101"/>
      <c r="AZ12" s="102"/>
      <c r="BA12" s="98"/>
      <c r="BB12" s="102"/>
      <c r="BC12" s="98"/>
      <c r="BD12" s="98"/>
      <c r="BE12" s="103"/>
      <c r="BG12" s="100"/>
      <c r="BH12" s="84"/>
      <c r="BI12" s="104"/>
      <c r="BK12" s="17"/>
      <c r="BL12" s="19"/>
      <c r="BM12" s="56" t="s">
        <v>117</v>
      </c>
      <c r="BN12" s="20"/>
      <c r="BO12" s="57" t="s">
        <v>130</v>
      </c>
      <c r="BP12" s="26"/>
      <c r="BQ12" s="150">
        <f>(IF(((SUM(AN12:AN42))=0)," ",(AVERAGE(AN12:AN42))))</f>
        <v>304.3027714285714</v>
      </c>
      <c r="BR12" s="150">
        <f>MAX(AN12:AN42)</f>
        <v>380.53752</v>
      </c>
      <c r="BS12" s="105" t="s">
        <v>126</v>
      </c>
      <c r="BT12" s="105"/>
      <c r="BU12" s="150">
        <f>(IF(((SUM(AM12:AM42))=0)," ",(AVERAGE(AM12:AM42))))</f>
        <v>16.714285714285715</v>
      </c>
      <c r="BV12" s="144">
        <f>(CG23)</f>
        <v>19.666666666666668</v>
      </c>
      <c r="BW12" s="150">
        <f>MAX(AM12:AM42)</f>
        <v>22</v>
      </c>
      <c r="BX12" s="105" t="s">
        <v>128</v>
      </c>
      <c r="BY12" s="105"/>
      <c r="BZ12" s="105">
        <v>0</v>
      </c>
      <c r="CA12" s="145" t="s">
        <v>47</v>
      </c>
      <c r="CB12" s="105">
        <v>24</v>
      </c>
      <c r="CC12" s="137"/>
      <c r="CE12" s="24"/>
      <c r="CF12" s="20" t="s">
        <v>138</v>
      </c>
      <c r="CG12" s="106">
        <v>15</v>
      </c>
      <c r="CH12" s="106">
        <v>286</v>
      </c>
      <c r="CI12" s="106"/>
      <c r="CJ12" s="106">
        <v>20</v>
      </c>
      <c r="CK12" s="106">
        <v>378</v>
      </c>
      <c r="CL12" s="240"/>
      <c r="CM12" s="152">
        <f>(AVERAGE(AE12:AE15))</f>
        <v>0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5">
        <v>1506906</v>
      </c>
      <c r="D13" s="138">
        <f t="shared" si="0"/>
        <v>2.101</v>
      </c>
      <c r="E13" s="140">
        <v>3.7</v>
      </c>
      <c r="F13" s="141">
        <v>0.6</v>
      </c>
      <c r="G13" s="81" t="str">
        <f t="shared" si="1"/>
        <v>0.00</v>
      </c>
      <c r="H13" s="85">
        <v>0</v>
      </c>
      <c r="I13" s="86">
        <v>0</v>
      </c>
      <c r="K13" s="87" t="s">
        <v>208</v>
      </c>
      <c r="L13" s="85">
        <v>21</v>
      </c>
      <c r="M13" s="88">
        <v>0</v>
      </c>
      <c r="O13" s="107"/>
      <c r="Q13" s="108"/>
      <c r="R13" s="153"/>
      <c r="S13" s="109"/>
      <c r="U13" s="93">
        <v>7</v>
      </c>
      <c r="V13" s="94">
        <v>7</v>
      </c>
      <c r="W13" s="95">
        <v>6.4</v>
      </c>
      <c r="Y13" s="90">
        <v>13</v>
      </c>
      <c r="Z13" s="96">
        <v>11</v>
      </c>
      <c r="AA13" s="92">
        <v>10</v>
      </c>
      <c r="AC13" s="93">
        <v>3</v>
      </c>
      <c r="AD13" s="91">
        <v>0</v>
      </c>
      <c r="AE13" s="97">
        <v>0</v>
      </c>
      <c r="AG13" s="45">
        <f t="shared" si="2"/>
        <v>2</v>
      </c>
      <c r="AI13" s="98"/>
      <c r="AJ13" s="55">
        <f t="shared" si="3"/>
      </c>
      <c r="AK13" s="98"/>
      <c r="AL13" s="55">
        <f t="shared" si="4"/>
      </c>
      <c r="AM13" s="98"/>
      <c r="AN13" s="55">
        <f t="shared" si="5"/>
      </c>
      <c r="AO13" s="110"/>
      <c r="AQ13" s="100"/>
      <c r="AR13" s="55">
        <f t="shared" si="6"/>
      </c>
      <c r="AS13" s="98"/>
      <c r="AT13" s="55">
        <f t="shared" si="7"/>
      </c>
      <c r="AU13" s="98"/>
      <c r="AV13" s="55">
        <f t="shared" si="8"/>
      </c>
      <c r="AX13" s="100">
        <v>66051</v>
      </c>
      <c r="AY13" s="101">
        <v>3</v>
      </c>
      <c r="AZ13" s="102">
        <v>3.5</v>
      </c>
      <c r="BA13" s="98">
        <v>34</v>
      </c>
      <c r="BB13" s="102">
        <v>28</v>
      </c>
      <c r="BC13" s="98">
        <v>24</v>
      </c>
      <c r="BD13" s="98"/>
      <c r="BE13" s="103"/>
      <c r="BG13" s="100">
        <v>24</v>
      </c>
      <c r="BH13" s="84" t="s">
        <v>212</v>
      </c>
      <c r="BI13" s="104" t="s">
        <v>211</v>
      </c>
      <c r="BK13" s="17"/>
      <c r="BL13" s="19"/>
      <c r="BM13" s="26" t="s">
        <v>86</v>
      </c>
      <c r="BN13" s="20"/>
      <c r="BO13" s="154" t="s">
        <v>131</v>
      </c>
      <c r="BP13" s="26"/>
      <c r="BQ13" s="237">
        <v>963</v>
      </c>
      <c r="BR13" s="237">
        <v>1605</v>
      </c>
      <c r="BS13" s="156" t="s">
        <v>126</v>
      </c>
      <c r="BT13" s="105"/>
      <c r="BU13" s="237">
        <v>30</v>
      </c>
      <c r="BV13" s="157">
        <v>45</v>
      </c>
      <c r="BW13" s="237">
        <v>50</v>
      </c>
      <c r="BX13" s="156" t="s">
        <v>128</v>
      </c>
      <c r="BY13" s="105"/>
      <c r="BZ13" s="238" t="s">
        <v>150</v>
      </c>
      <c r="CA13" s="158" t="s">
        <v>47</v>
      </c>
      <c r="CB13" s="156">
        <v>24</v>
      </c>
      <c r="CC13" s="137"/>
      <c r="CE13" s="24"/>
      <c r="CF13" s="20"/>
      <c r="CG13" s="106"/>
      <c r="CH13" s="106"/>
      <c r="CI13" s="106"/>
      <c r="CJ13" s="106"/>
      <c r="CK13" s="106"/>
      <c r="CL13" s="240"/>
      <c r="CM13" s="152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5">
        <v>1509093</v>
      </c>
      <c r="D14" s="138">
        <f t="shared" si="0"/>
        <v>2.187</v>
      </c>
      <c r="E14" s="140">
        <v>3.7</v>
      </c>
      <c r="F14" s="141">
        <v>0.6</v>
      </c>
      <c r="G14" s="81" t="str">
        <f t="shared" si="1"/>
        <v>0.00</v>
      </c>
      <c r="H14" s="85">
        <v>0</v>
      </c>
      <c r="I14" s="86">
        <v>4000</v>
      </c>
      <c r="K14" s="87" t="s">
        <v>208</v>
      </c>
      <c r="L14" s="85">
        <v>22</v>
      </c>
      <c r="M14" s="88">
        <v>0</v>
      </c>
      <c r="O14" s="107"/>
      <c r="Q14" s="108" t="s">
        <v>10</v>
      </c>
      <c r="R14" s="153" t="s">
        <v>10</v>
      </c>
      <c r="S14" s="109" t="s">
        <v>10</v>
      </c>
      <c r="U14" s="93">
        <v>7.2</v>
      </c>
      <c r="V14" s="94">
        <v>7.1</v>
      </c>
      <c r="W14" s="95">
        <v>6.8</v>
      </c>
      <c r="Y14" s="90">
        <v>12</v>
      </c>
      <c r="Z14" s="96">
        <v>11</v>
      </c>
      <c r="AA14" s="92">
        <v>11</v>
      </c>
      <c r="AC14" s="93">
        <v>4</v>
      </c>
      <c r="AD14" s="91">
        <v>0</v>
      </c>
      <c r="AE14" s="97">
        <v>0</v>
      </c>
      <c r="AG14" s="45">
        <f t="shared" si="2"/>
        <v>3</v>
      </c>
      <c r="AI14" s="98">
        <v>235</v>
      </c>
      <c r="AJ14" s="55">
        <f t="shared" si="3"/>
        <v>4286.301299999999</v>
      </c>
      <c r="AK14" s="98">
        <v>172</v>
      </c>
      <c r="AL14" s="55">
        <f t="shared" si="4"/>
        <v>3137.20776</v>
      </c>
      <c r="AM14" s="98">
        <v>14</v>
      </c>
      <c r="AN14" s="55">
        <f t="shared" si="5"/>
        <v>255.35412</v>
      </c>
      <c r="AO14" s="110">
        <v>10</v>
      </c>
      <c r="AQ14" s="100">
        <v>189</v>
      </c>
      <c r="AR14" s="55">
        <f t="shared" si="6"/>
        <v>3447.2806199999995</v>
      </c>
      <c r="AS14" s="98">
        <v>67</v>
      </c>
      <c r="AT14" s="55">
        <f t="shared" si="7"/>
        <v>1222.05186</v>
      </c>
      <c r="AU14" s="98">
        <v>18</v>
      </c>
      <c r="AV14" s="55">
        <f t="shared" si="8"/>
        <v>328.31244</v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(IF(((SUM(AM19:AM21))=0)," ",(AVERAGE(AM19:AM21))))</f>
        <v>15</v>
      </c>
      <c r="CH14" s="106">
        <f>(IF(((SUM(AN19:AN21))=0)," ",(AVERAGE(AN19:AN21))))</f>
        <v>293.3039</v>
      </c>
      <c r="CI14" s="106"/>
      <c r="CJ14" s="106">
        <f>(IF(((SUM(AU19:AU21))=0)," ",(AVERAGE(AU19:AU21))))</f>
        <v>16.333333333333332</v>
      </c>
      <c r="CK14" s="106">
        <f>(IF(((SUM(AV19:AV21))=0)," ",(AVERAGE(AV19:AV21))))</f>
        <v>318.71588</v>
      </c>
      <c r="CL14" s="240"/>
      <c r="CM14" s="152">
        <f>(AVERAGE(AE16:AE22))</f>
        <v>0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5">
        <v>1511278</v>
      </c>
      <c r="D15" s="138">
        <f t="shared" si="0"/>
        <v>2.185</v>
      </c>
      <c r="E15" s="140">
        <v>3.6</v>
      </c>
      <c r="F15" s="141">
        <v>0.8</v>
      </c>
      <c r="G15" s="81" t="str">
        <f t="shared" si="1"/>
        <v>0.00</v>
      </c>
      <c r="H15" s="85">
        <v>0</v>
      </c>
      <c r="I15" s="86">
        <v>0</v>
      </c>
      <c r="K15" s="87" t="s">
        <v>209</v>
      </c>
      <c r="L15" s="85">
        <v>25</v>
      </c>
      <c r="M15" s="88">
        <v>0</v>
      </c>
      <c r="O15" s="107"/>
      <c r="Q15" s="108"/>
      <c r="R15" s="153"/>
      <c r="S15" s="109"/>
      <c r="U15" s="93">
        <v>6.9</v>
      </c>
      <c r="V15" s="94">
        <v>7.1</v>
      </c>
      <c r="W15" s="95">
        <v>6.3</v>
      </c>
      <c r="Y15" s="90">
        <v>12</v>
      </c>
      <c r="Z15" s="96">
        <v>10</v>
      </c>
      <c r="AA15" s="92">
        <v>10</v>
      </c>
      <c r="AC15" s="93">
        <v>1.5</v>
      </c>
      <c r="AD15" s="91">
        <v>0</v>
      </c>
      <c r="AE15" s="97">
        <v>0</v>
      </c>
      <c r="AG15" s="45">
        <f t="shared" si="2"/>
        <v>4</v>
      </c>
      <c r="AI15" s="98">
        <v>215</v>
      </c>
      <c r="AJ15" s="55">
        <f t="shared" si="3"/>
        <v>3917.9235000000003</v>
      </c>
      <c r="AK15" s="98"/>
      <c r="AL15" s="55">
        <f t="shared" si="4"/>
      </c>
      <c r="AM15" s="98">
        <v>16</v>
      </c>
      <c r="AN15" s="55">
        <f t="shared" si="5"/>
        <v>291.5664</v>
      </c>
      <c r="AO15" s="110">
        <v>12</v>
      </c>
      <c r="AQ15" s="100">
        <v>177</v>
      </c>
      <c r="AR15" s="55">
        <f t="shared" si="6"/>
        <v>3225.4533</v>
      </c>
      <c r="AS15" s="98"/>
      <c r="AT15" s="55">
        <f t="shared" si="7"/>
      </c>
      <c r="AU15" s="98">
        <v>24</v>
      </c>
      <c r="AV15" s="55">
        <f t="shared" si="8"/>
        <v>437.34959999999995</v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106"/>
      <c r="CH15" s="106"/>
      <c r="CI15" s="106"/>
      <c r="CJ15" s="106"/>
      <c r="CK15" s="106"/>
      <c r="CL15" s="240"/>
      <c r="CM15" s="152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3">
        <v>1513353</v>
      </c>
      <c r="D16" s="139">
        <f t="shared" si="0"/>
        <v>2.075</v>
      </c>
      <c r="E16" s="142">
        <v>4</v>
      </c>
      <c r="F16" s="143">
        <v>1.2</v>
      </c>
      <c r="G16" s="184" t="str">
        <f t="shared" si="1"/>
        <v>0.00</v>
      </c>
      <c r="H16" s="113">
        <v>0</v>
      </c>
      <c r="I16" s="114">
        <v>0</v>
      </c>
      <c r="K16" s="115" t="s">
        <v>208</v>
      </c>
      <c r="L16" s="113">
        <v>27</v>
      </c>
      <c r="M16" s="116">
        <v>0.09</v>
      </c>
      <c r="O16" s="117"/>
      <c r="Q16" s="108" t="s">
        <v>4</v>
      </c>
      <c r="R16" s="153" t="s">
        <v>4</v>
      </c>
      <c r="S16" s="109" t="s">
        <v>4</v>
      </c>
      <c r="U16" s="118">
        <v>7.1</v>
      </c>
      <c r="V16" s="119">
        <v>7.1</v>
      </c>
      <c r="W16" s="120">
        <v>6.4</v>
      </c>
      <c r="Y16" s="121">
        <v>13</v>
      </c>
      <c r="Z16" s="122">
        <v>11</v>
      </c>
      <c r="AA16" s="123">
        <v>11</v>
      </c>
      <c r="AC16" s="118">
        <v>4</v>
      </c>
      <c r="AD16" s="124">
        <v>0</v>
      </c>
      <c r="AE16" s="125">
        <v>0</v>
      </c>
      <c r="AG16" s="45">
        <f t="shared" si="2"/>
        <v>5</v>
      </c>
      <c r="AI16" s="126"/>
      <c r="AJ16" s="65">
        <f t="shared" si="3"/>
      </c>
      <c r="AK16" s="126"/>
      <c r="AL16" s="65">
        <f t="shared" si="4"/>
      </c>
      <c r="AM16" s="126"/>
      <c r="AN16" s="65">
        <f t="shared" si="5"/>
      </c>
      <c r="AO16" s="127"/>
      <c r="AQ16" s="128"/>
      <c r="AR16" s="65">
        <f t="shared" si="6"/>
      </c>
      <c r="AS16" s="126"/>
      <c r="AT16" s="65">
        <f t="shared" si="7"/>
      </c>
      <c r="AU16" s="126"/>
      <c r="AV16" s="65">
        <f t="shared" si="8"/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(IF(((SUM(AM26:AM28))=0)," ",(AVERAGE(AM26:AM28))))</f>
        <v>15.333333333333334</v>
      </c>
      <c r="CH16" s="106">
        <f>(IF(((SUM(AN26:AN28))=0)," ",(AVERAGE(AN26:AN28))))</f>
        <v>277.03533999999996</v>
      </c>
      <c r="CI16" s="106"/>
      <c r="CJ16" s="106">
        <f>(IF(((SUM(AU26:AU28))=0)," ",(AVERAGE(AU26:AU28))))</f>
        <v>17</v>
      </c>
      <c r="CK16" s="106">
        <f>(IF(((SUM(AV26:AV28))=0)," ",(AVERAGE(AV26:AV28))))</f>
        <v>307.00096</v>
      </c>
      <c r="CL16" s="240"/>
      <c r="CM16" s="152">
        <f>(AVERAGE(AE23:AE29))</f>
        <v>0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5">
        <v>1515511</v>
      </c>
      <c r="D17" s="138">
        <f t="shared" si="0"/>
        <v>2.158</v>
      </c>
      <c r="E17" s="140">
        <v>4</v>
      </c>
      <c r="F17" s="141">
        <v>0.6</v>
      </c>
      <c r="G17" s="81" t="str">
        <f t="shared" si="1"/>
        <v>0.00</v>
      </c>
      <c r="H17" s="85">
        <v>3700</v>
      </c>
      <c r="I17" s="86">
        <v>1750</v>
      </c>
      <c r="K17" s="87" t="s">
        <v>208</v>
      </c>
      <c r="L17" s="85">
        <v>27</v>
      </c>
      <c r="M17" s="88">
        <v>0.01</v>
      </c>
      <c r="O17" s="107"/>
      <c r="Q17" s="108"/>
      <c r="R17" s="153"/>
      <c r="S17" s="109"/>
      <c r="U17" s="93">
        <v>7.1</v>
      </c>
      <c r="V17" s="94">
        <v>7</v>
      </c>
      <c r="W17" s="95">
        <v>6.6</v>
      </c>
      <c r="Y17" s="90">
        <v>12</v>
      </c>
      <c r="Z17" s="96">
        <v>11</v>
      </c>
      <c r="AA17" s="92">
        <v>11</v>
      </c>
      <c r="AC17" s="93">
        <v>10</v>
      </c>
      <c r="AD17" s="91">
        <v>0.01</v>
      </c>
      <c r="AE17" s="97">
        <v>0</v>
      </c>
      <c r="AG17" s="45">
        <f t="shared" si="2"/>
        <v>6</v>
      </c>
      <c r="AI17" s="98"/>
      <c r="AJ17" s="55">
        <f t="shared" si="3"/>
      </c>
      <c r="AK17" s="98"/>
      <c r="AL17" s="55">
        <f t="shared" si="4"/>
      </c>
      <c r="AM17" s="98"/>
      <c r="AN17" s="55">
        <f t="shared" si="5"/>
      </c>
      <c r="AO17" s="110"/>
      <c r="AQ17" s="100"/>
      <c r="AR17" s="55">
        <f t="shared" si="6"/>
      </c>
      <c r="AS17" s="98"/>
      <c r="AT17" s="55">
        <f t="shared" si="7"/>
      </c>
      <c r="AU17" s="98"/>
      <c r="AV17" s="55">
        <f t="shared" si="8"/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39" t="s">
        <v>150</v>
      </c>
      <c r="BR17" s="239" t="s">
        <v>150</v>
      </c>
      <c r="BS17" s="239" t="s">
        <v>150</v>
      </c>
      <c r="BT17" s="105"/>
      <c r="BU17" s="146">
        <f>MIN(W12:W42)</f>
        <v>6.1</v>
      </c>
      <c r="BV17" s="239" t="s">
        <v>150</v>
      </c>
      <c r="BW17" s="146">
        <f>MAX(W12:W42)</f>
        <v>6.8</v>
      </c>
      <c r="BX17" s="105" t="s">
        <v>43</v>
      </c>
      <c r="BY17" s="105"/>
      <c r="BZ17" s="105">
        <v>0</v>
      </c>
      <c r="CA17" s="145" t="s">
        <v>48</v>
      </c>
      <c r="CB17" s="105" t="s">
        <v>23</v>
      </c>
      <c r="CC17" s="137"/>
      <c r="CE17" s="69"/>
      <c r="CF17" s="20"/>
      <c r="CG17" s="106"/>
      <c r="CH17" s="106"/>
      <c r="CI17" s="106"/>
      <c r="CJ17" s="106"/>
      <c r="CK17" s="106"/>
      <c r="CL17" s="241"/>
      <c r="CM17" s="152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5">
        <v>1517785</v>
      </c>
      <c r="D18" s="138">
        <f t="shared" si="0"/>
        <v>2.274</v>
      </c>
      <c r="E18" s="140">
        <v>4.2</v>
      </c>
      <c r="F18" s="141">
        <v>0.6</v>
      </c>
      <c r="G18" s="81" t="str">
        <f t="shared" si="1"/>
        <v>0.00</v>
      </c>
      <c r="H18" s="85">
        <v>0</v>
      </c>
      <c r="I18" s="86">
        <v>0</v>
      </c>
      <c r="K18" s="87" t="s">
        <v>210</v>
      </c>
      <c r="L18" s="85">
        <v>24</v>
      </c>
      <c r="M18" s="88">
        <v>0</v>
      </c>
      <c r="O18" s="107"/>
      <c r="Q18" s="108" t="s">
        <v>4</v>
      </c>
      <c r="R18" s="153" t="s">
        <v>4</v>
      </c>
      <c r="S18" s="109" t="s">
        <v>4</v>
      </c>
      <c r="U18" s="93">
        <v>7</v>
      </c>
      <c r="V18" s="94">
        <v>7</v>
      </c>
      <c r="W18" s="95">
        <v>6.2</v>
      </c>
      <c r="Y18" s="90">
        <v>12</v>
      </c>
      <c r="Z18" s="96">
        <v>11</v>
      </c>
      <c r="AA18" s="92">
        <v>11</v>
      </c>
      <c r="AC18" s="93">
        <v>4.5</v>
      </c>
      <c r="AD18" s="91">
        <v>0.01</v>
      </c>
      <c r="AE18" s="97">
        <v>0</v>
      </c>
      <c r="AG18" s="45">
        <f t="shared" si="2"/>
        <v>7</v>
      </c>
      <c r="AI18" s="98"/>
      <c r="AJ18" s="55">
        <f t="shared" si="3"/>
      </c>
      <c r="AK18" s="98"/>
      <c r="AL18" s="55">
        <f t="shared" si="4"/>
      </c>
      <c r="AM18" s="98"/>
      <c r="AN18" s="55">
        <f t="shared" si="5"/>
      </c>
      <c r="AO18" s="110"/>
      <c r="AQ18" s="100"/>
      <c r="AR18" s="55">
        <f t="shared" si="6"/>
      </c>
      <c r="AS18" s="98"/>
      <c r="AT18" s="55">
        <f t="shared" si="7"/>
      </c>
      <c r="AU18" s="98"/>
      <c r="AV18" s="55">
        <f t="shared" si="8"/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38" t="s">
        <v>150</v>
      </c>
      <c r="BR18" s="238" t="s">
        <v>150</v>
      </c>
      <c r="BS18" s="238" t="s">
        <v>150</v>
      </c>
      <c r="BT18" s="105"/>
      <c r="BU18" s="159">
        <v>6</v>
      </c>
      <c r="BV18" s="238" t="s">
        <v>150</v>
      </c>
      <c r="BW18" s="156">
        <v>8.5</v>
      </c>
      <c r="BX18" s="156" t="s">
        <v>43</v>
      </c>
      <c r="BY18" s="105"/>
      <c r="BZ18" s="238" t="s">
        <v>150</v>
      </c>
      <c r="CA18" s="158" t="s">
        <v>48</v>
      </c>
      <c r="CB18" s="156" t="s">
        <v>23</v>
      </c>
      <c r="CC18" s="137"/>
      <c r="CE18" s="69"/>
      <c r="CF18" s="20" t="s">
        <v>141</v>
      </c>
      <c r="CG18" s="106">
        <f>(IF(((SUM(AM33:AM35))=0)," ",(AVERAGE(AM33:AM35))))</f>
        <v>18</v>
      </c>
      <c r="CH18" s="106">
        <f>(IF(((SUM(AN33:AN35))=0)," ",(AVERAGE(AN33:AN35))))</f>
        <v>324.91528</v>
      </c>
      <c r="CI18" s="106"/>
      <c r="CJ18" s="106">
        <f>(IF(((SUM(AU33:AU35))=0)," ",(AVERAGE(AU33:AU35))))</f>
        <v>23.666666666666668</v>
      </c>
      <c r="CK18" s="106">
        <f>(IF(((SUM(AV33:AV35))=0)," ",(AVERAGE(AV33:AV35))))</f>
        <v>427.3110199999999</v>
      </c>
      <c r="CL18" s="241"/>
      <c r="CM18" s="152">
        <f>(AVERAGE(AE30:AE36))</f>
        <v>0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5">
        <v>1520287</v>
      </c>
      <c r="D19" s="138">
        <f t="shared" si="0"/>
        <v>2.502</v>
      </c>
      <c r="E19" s="140">
        <v>3.6</v>
      </c>
      <c r="F19" s="141">
        <v>0.6</v>
      </c>
      <c r="G19" s="81" t="str">
        <f t="shared" si="1"/>
        <v>0.00</v>
      </c>
      <c r="H19" s="85">
        <v>0</v>
      </c>
      <c r="I19" s="86">
        <v>0</v>
      </c>
      <c r="K19" s="87" t="s">
        <v>208</v>
      </c>
      <c r="L19" s="85">
        <v>20</v>
      </c>
      <c r="M19" s="88">
        <v>0</v>
      </c>
      <c r="O19" s="107"/>
      <c r="Q19" s="108"/>
      <c r="R19" s="153"/>
      <c r="S19" s="109"/>
      <c r="U19" s="93">
        <v>7.2</v>
      </c>
      <c r="V19" s="94">
        <v>7.1</v>
      </c>
      <c r="W19" s="95">
        <v>6.2</v>
      </c>
      <c r="Y19" s="90">
        <v>12</v>
      </c>
      <c r="Z19" s="96">
        <v>11</v>
      </c>
      <c r="AA19" s="92">
        <v>11</v>
      </c>
      <c r="AC19" s="93">
        <v>10</v>
      </c>
      <c r="AD19" s="91">
        <v>0</v>
      </c>
      <c r="AE19" s="97">
        <v>0</v>
      </c>
      <c r="AG19" s="45">
        <f t="shared" si="2"/>
        <v>8</v>
      </c>
      <c r="AI19" s="98">
        <v>143</v>
      </c>
      <c r="AJ19" s="55">
        <f t="shared" si="3"/>
        <v>2983.9352399999993</v>
      </c>
      <c r="AK19" s="98"/>
      <c r="AL19" s="55">
        <f t="shared" si="4"/>
      </c>
      <c r="AM19" s="98">
        <v>16</v>
      </c>
      <c r="AN19" s="55">
        <f t="shared" si="5"/>
        <v>333.86688</v>
      </c>
      <c r="AO19" s="110">
        <v>12</v>
      </c>
      <c r="AQ19" s="100">
        <v>147</v>
      </c>
      <c r="AR19" s="55">
        <f t="shared" si="6"/>
        <v>3067.4019599999997</v>
      </c>
      <c r="AS19" s="98"/>
      <c r="AT19" s="55">
        <f t="shared" si="7"/>
      </c>
      <c r="AU19" s="98">
        <v>17</v>
      </c>
      <c r="AV19" s="55">
        <f t="shared" si="8"/>
        <v>354.73356</v>
      </c>
      <c r="AX19" s="100">
        <v>76607</v>
      </c>
      <c r="AY19" s="101">
        <v>3</v>
      </c>
      <c r="AZ19" s="102">
        <v>4.75</v>
      </c>
      <c r="BA19" s="98">
        <v>40.3</v>
      </c>
      <c r="BB19" s="102">
        <v>29</v>
      </c>
      <c r="BC19" s="98">
        <v>24</v>
      </c>
      <c r="BD19" s="98"/>
      <c r="BE19" s="103"/>
      <c r="BG19" s="100">
        <v>24</v>
      </c>
      <c r="BH19" s="84" t="s">
        <v>212</v>
      </c>
      <c r="BI19" s="104" t="s">
        <v>211</v>
      </c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6"/>
      <c r="CH19" s="106"/>
      <c r="CI19" s="106"/>
      <c r="CJ19" s="106"/>
      <c r="CK19" s="106"/>
      <c r="CL19" s="241"/>
      <c r="CM19" s="152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5">
        <v>1522500</v>
      </c>
      <c r="D20" s="138">
        <f t="shared" si="0"/>
        <v>2.213</v>
      </c>
      <c r="E20" s="140">
        <v>3.7</v>
      </c>
      <c r="F20" s="141">
        <v>0.6</v>
      </c>
      <c r="G20" s="81" t="str">
        <f t="shared" si="1"/>
        <v>0.00</v>
      </c>
      <c r="H20" s="85">
        <v>0</v>
      </c>
      <c r="I20" s="86">
        <v>1000</v>
      </c>
      <c r="K20" s="87" t="s">
        <v>208</v>
      </c>
      <c r="L20" s="85">
        <v>23</v>
      </c>
      <c r="M20" s="88">
        <v>0.03</v>
      </c>
      <c r="O20" s="107"/>
      <c r="Q20" s="108"/>
      <c r="R20" s="153"/>
      <c r="S20" s="109"/>
      <c r="U20" s="93">
        <v>7.2</v>
      </c>
      <c r="V20" s="94">
        <v>7.1</v>
      </c>
      <c r="W20" s="95">
        <v>6.5</v>
      </c>
      <c r="Y20" s="90">
        <v>12</v>
      </c>
      <c r="Z20" s="96">
        <v>11</v>
      </c>
      <c r="AA20" s="92">
        <v>11</v>
      </c>
      <c r="AC20" s="93">
        <v>5</v>
      </c>
      <c r="AD20" s="91">
        <v>0.01</v>
      </c>
      <c r="AE20" s="97">
        <v>0</v>
      </c>
      <c r="AG20" s="45">
        <f t="shared" si="2"/>
        <v>9</v>
      </c>
      <c r="AI20" s="98">
        <v>215</v>
      </c>
      <c r="AJ20" s="55">
        <f t="shared" si="3"/>
        <v>3968.1303000000003</v>
      </c>
      <c r="AK20" s="98"/>
      <c r="AL20" s="55">
        <f t="shared" si="4"/>
      </c>
      <c r="AM20" s="98">
        <v>13</v>
      </c>
      <c r="AN20" s="55">
        <f t="shared" si="5"/>
        <v>239.93346000000003</v>
      </c>
      <c r="AO20" s="110">
        <v>9</v>
      </c>
      <c r="AQ20" s="100">
        <v>176</v>
      </c>
      <c r="AR20" s="55">
        <f t="shared" si="6"/>
        <v>3248.32992</v>
      </c>
      <c r="AS20" s="98"/>
      <c r="AT20" s="55">
        <f t="shared" si="7"/>
      </c>
      <c r="AU20" s="98">
        <v>16</v>
      </c>
      <c r="AV20" s="55">
        <f t="shared" si="8"/>
        <v>295.30272</v>
      </c>
      <c r="AX20" s="100">
        <v>31657</v>
      </c>
      <c r="AY20" s="101">
        <v>3</v>
      </c>
      <c r="AZ20" s="102">
        <v>2.25</v>
      </c>
      <c r="BA20" s="98">
        <v>15.5</v>
      </c>
      <c r="BB20" s="102">
        <v>28</v>
      </c>
      <c r="BC20" s="98">
        <v>12</v>
      </c>
      <c r="BD20" s="98"/>
      <c r="BE20" s="103"/>
      <c r="BG20" s="100">
        <v>12</v>
      </c>
      <c r="BH20" s="84" t="s">
        <v>212</v>
      </c>
      <c r="BI20" s="104" t="s">
        <v>211</v>
      </c>
      <c r="CE20" s="69"/>
      <c r="CF20" s="20" t="s">
        <v>142</v>
      </c>
      <c r="CG20" s="106">
        <f>(IF(((SUM(AM40:AM42))=0)," ",(AVERAGE(AM40:AM42))))</f>
        <v>19.666666666666668</v>
      </c>
      <c r="CH20" s="106">
        <f>(IF(((SUM(AN40:AN42))=0)," ",(AVERAGE(AN40:AN42))))</f>
        <v>342.51824000000005</v>
      </c>
      <c r="CI20" s="106"/>
      <c r="CJ20" s="106">
        <f>(IF(((SUM(AU40:AU42))=0)," ",(AVERAGE(AU40:AU42))))</f>
        <v>24.333333333333332</v>
      </c>
      <c r="CK20" s="106">
        <f>(IF(((SUM(AV40:AV42))=0)," ",(AVERAGE(AV40:AV42))))</f>
        <v>423.95555999999993</v>
      </c>
      <c r="CL20" s="241"/>
      <c r="CM20" s="152">
        <f>(AVERAGE(AE37:AE42))</f>
        <v>0</v>
      </c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3">
        <v>1524794</v>
      </c>
      <c r="D21" s="139">
        <f t="shared" si="0"/>
        <v>2.294</v>
      </c>
      <c r="E21" s="142">
        <v>3.6</v>
      </c>
      <c r="F21" s="143">
        <v>0.6</v>
      </c>
      <c r="G21" s="184" t="str">
        <f t="shared" si="1"/>
        <v>0.00</v>
      </c>
      <c r="H21" s="113">
        <v>0</v>
      </c>
      <c r="I21" s="114">
        <v>1000</v>
      </c>
      <c r="K21" s="115" t="s">
        <v>208</v>
      </c>
      <c r="L21" s="113">
        <v>17</v>
      </c>
      <c r="M21" s="116">
        <v>0</v>
      </c>
      <c r="O21" s="117"/>
      <c r="Q21" s="108"/>
      <c r="R21" s="153"/>
      <c r="S21" s="109"/>
      <c r="U21" s="118">
        <v>7.1</v>
      </c>
      <c r="V21" s="119">
        <v>7</v>
      </c>
      <c r="W21" s="120">
        <v>6.4</v>
      </c>
      <c r="Y21" s="121">
        <v>12</v>
      </c>
      <c r="Z21" s="122">
        <v>10</v>
      </c>
      <c r="AA21" s="123">
        <v>10</v>
      </c>
      <c r="AC21" s="118">
        <v>4</v>
      </c>
      <c r="AD21" s="124">
        <v>0</v>
      </c>
      <c r="AE21" s="125">
        <v>0</v>
      </c>
      <c r="AG21" s="45">
        <f t="shared" si="2"/>
        <v>10</v>
      </c>
      <c r="AI21" s="126">
        <v>248</v>
      </c>
      <c r="AJ21" s="65">
        <f t="shared" si="3"/>
        <v>4744.72608</v>
      </c>
      <c r="AK21" s="126">
        <v>162</v>
      </c>
      <c r="AL21" s="65">
        <f t="shared" si="4"/>
        <v>3099.37752</v>
      </c>
      <c r="AM21" s="126">
        <v>16</v>
      </c>
      <c r="AN21" s="65">
        <f t="shared" si="5"/>
        <v>306.11136</v>
      </c>
      <c r="AO21" s="127">
        <v>10</v>
      </c>
      <c r="AQ21" s="128">
        <v>282</v>
      </c>
      <c r="AR21" s="65">
        <f t="shared" si="6"/>
        <v>5395.21272</v>
      </c>
      <c r="AS21" s="126">
        <v>30</v>
      </c>
      <c r="AT21" s="65">
        <f t="shared" si="7"/>
        <v>573.9588</v>
      </c>
      <c r="AU21" s="126">
        <v>16</v>
      </c>
      <c r="AV21" s="65">
        <f t="shared" si="8"/>
        <v>306.11136</v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5">
        <v>1527076</v>
      </c>
      <c r="D22" s="138">
        <f t="shared" si="0"/>
        <v>2.282</v>
      </c>
      <c r="E22" s="140">
        <v>3.8</v>
      </c>
      <c r="F22" s="141">
        <v>0.6</v>
      </c>
      <c r="G22" s="81" t="str">
        <f t="shared" si="1"/>
        <v>0.00</v>
      </c>
      <c r="H22" s="85">
        <v>3000</v>
      </c>
      <c r="I22" s="86">
        <v>1500</v>
      </c>
      <c r="K22" s="87" t="s">
        <v>208</v>
      </c>
      <c r="L22" s="85">
        <v>13</v>
      </c>
      <c r="M22" s="88">
        <v>0.01</v>
      </c>
      <c r="O22" s="107"/>
      <c r="Q22" s="108" t="s">
        <v>4</v>
      </c>
      <c r="R22" s="153" t="s">
        <v>4</v>
      </c>
      <c r="S22" s="109" t="s">
        <v>4</v>
      </c>
      <c r="U22" s="93">
        <v>7.1</v>
      </c>
      <c r="V22" s="94">
        <v>7</v>
      </c>
      <c r="W22" s="95">
        <v>6.5</v>
      </c>
      <c r="Y22" s="90">
        <v>12</v>
      </c>
      <c r="Z22" s="96">
        <v>11</v>
      </c>
      <c r="AA22" s="92">
        <v>10</v>
      </c>
      <c r="AC22" s="93">
        <v>5</v>
      </c>
      <c r="AD22" s="91">
        <v>0.01</v>
      </c>
      <c r="AE22" s="97">
        <v>0</v>
      </c>
      <c r="AG22" s="45">
        <f t="shared" si="2"/>
        <v>11</v>
      </c>
      <c r="AI22" s="98"/>
      <c r="AJ22" s="55">
        <f t="shared" si="3"/>
      </c>
      <c r="AK22" s="98"/>
      <c r="AL22" s="55">
        <f t="shared" si="4"/>
      </c>
      <c r="AM22" s="98"/>
      <c r="AN22" s="55">
        <f t="shared" si="5"/>
      </c>
      <c r="AO22" s="110"/>
      <c r="AQ22" s="100"/>
      <c r="AR22" s="55">
        <f t="shared" si="6"/>
      </c>
      <c r="AS22" s="98"/>
      <c r="AT22" s="55">
        <f t="shared" si="7"/>
      </c>
      <c r="AU22" s="98"/>
      <c r="AV22" s="55">
        <f t="shared" si="8"/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50">
        <f>(IF(((SUM(AV12:AV42))=0)," ",(AVERAGE(AV12:AV42))))</f>
        <v>371.18659285714284</v>
      </c>
      <c r="BR22" s="150">
        <f>MAX(AV12:AV42)</f>
        <v>455.5725</v>
      </c>
      <c r="BS22" s="105" t="s">
        <v>126</v>
      </c>
      <c r="BT22" s="105"/>
      <c r="BU22" s="150">
        <f>(IF(((SUM(AU12:AU42))=0)," ",(AVERAGE(AU12:AU42))))</f>
        <v>20.428571428571427</v>
      </c>
      <c r="BV22" s="144">
        <f>(CJ23)</f>
        <v>24.333333333333332</v>
      </c>
      <c r="BW22" s="150">
        <f>MAX(AU12:AU42)</f>
        <v>26</v>
      </c>
      <c r="BX22" s="105" t="s">
        <v>128</v>
      </c>
      <c r="BY22" s="105"/>
      <c r="BZ22" s="105">
        <v>0</v>
      </c>
      <c r="CA22" s="145" t="s">
        <v>47</v>
      </c>
      <c r="CB22" s="105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5">
        <v>1529295</v>
      </c>
      <c r="D23" s="138">
        <f t="shared" si="0"/>
        <v>2.219</v>
      </c>
      <c r="E23" s="140">
        <v>3.6</v>
      </c>
      <c r="F23" s="141">
        <v>0.6</v>
      </c>
      <c r="G23" s="81" t="str">
        <f t="shared" si="1"/>
        <v>0.00</v>
      </c>
      <c r="H23" s="85">
        <v>0</v>
      </c>
      <c r="I23" s="86">
        <v>0</v>
      </c>
      <c r="K23" s="87" t="s">
        <v>208</v>
      </c>
      <c r="L23" s="85">
        <v>12</v>
      </c>
      <c r="M23" s="88">
        <v>0.01</v>
      </c>
      <c r="O23" s="107"/>
      <c r="Q23" s="108"/>
      <c r="R23" s="153"/>
      <c r="S23" s="109"/>
      <c r="U23" s="93">
        <v>7.1</v>
      </c>
      <c r="V23" s="94">
        <v>7.1</v>
      </c>
      <c r="W23" s="95">
        <v>6.5</v>
      </c>
      <c r="Y23" s="90">
        <v>11</v>
      </c>
      <c r="Z23" s="96">
        <v>11</v>
      </c>
      <c r="AA23" s="92">
        <v>10</v>
      </c>
      <c r="AC23" s="93">
        <v>9</v>
      </c>
      <c r="AD23" s="91">
        <v>0.01</v>
      </c>
      <c r="AE23" s="97">
        <v>0</v>
      </c>
      <c r="AG23" s="45">
        <f t="shared" si="2"/>
        <v>12</v>
      </c>
      <c r="AI23" s="98"/>
      <c r="AJ23" s="55">
        <f t="shared" si="3"/>
      </c>
      <c r="AK23" s="98"/>
      <c r="AL23" s="55">
        <f t="shared" si="4"/>
      </c>
      <c r="AM23" s="98"/>
      <c r="AN23" s="55">
        <f t="shared" si="5"/>
      </c>
      <c r="AO23" s="110"/>
      <c r="AQ23" s="100"/>
      <c r="AR23" s="55">
        <f t="shared" si="6"/>
      </c>
      <c r="AS23" s="98"/>
      <c r="AT23" s="55">
        <f t="shared" si="7"/>
      </c>
      <c r="AU23" s="98"/>
      <c r="AV23" s="55">
        <f t="shared" si="8"/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37">
        <v>963</v>
      </c>
      <c r="BR23" s="237">
        <v>1605</v>
      </c>
      <c r="BS23" s="156" t="s">
        <v>126</v>
      </c>
      <c r="BT23" s="105"/>
      <c r="BU23" s="237">
        <v>30</v>
      </c>
      <c r="BV23" s="157">
        <v>45</v>
      </c>
      <c r="BW23" s="237">
        <v>50</v>
      </c>
      <c r="BX23" s="156" t="s">
        <v>128</v>
      </c>
      <c r="BY23" s="105"/>
      <c r="BZ23" s="238" t="s">
        <v>150</v>
      </c>
      <c r="CA23" s="158" t="s">
        <v>47</v>
      </c>
      <c r="CB23" s="156">
        <v>24</v>
      </c>
      <c r="CC23" s="137"/>
      <c r="CE23" s="69"/>
      <c r="CF23" s="72" t="s">
        <v>53</v>
      </c>
      <c r="CG23" s="150">
        <f>(IF(((SUM(CG12:CG20))=0)," ",(MAX(CG12:CG20))))</f>
        <v>19.666666666666668</v>
      </c>
      <c r="CH23" s="150">
        <f>(IF(((SUM(CH12:CH20))=0)," ",(MAX(CH12:CH20))))</f>
        <v>342.51824000000005</v>
      </c>
      <c r="CI23" s="186"/>
      <c r="CJ23" s="150">
        <f>(IF(((SUM(CJ12:CJ20))=0)," ",(MAX(CJ12:CJ20))))</f>
        <v>24.333333333333332</v>
      </c>
      <c r="CK23" s="150">
        <f>(IF(((SUM(CK12:CK20))=0)," ",(MAX(CK12:CK20))))</f>
        <v>427.3110199999999</v>
      </c>
      <c r="CL23" s="71"/>
      <c r="CM23" s="280">
        <f>(MAX(CM12:CM20))</f>
        <v>0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5">
        <v>1531462</v>
      </c>
      <c r="D24" s="138">
        <f t="shared" si="0"/>
        <v>2.167</v>
      </c>
      <c r="E24" s="140">
        <v>3.7</v>
      </c>
      <c r="F24" s="141">
        <v>0.6</v>
      </c>
      <c r="G24" s="81" t="str">
        <f t="shared" si="1"/>
        <v>0.00</v>
      </c>
      <c r="H24" s="85">
        <v>1500</v>
      </c>
      <c r="I24" s="86">
        <v>2000</v>
      </c>
      <c r="K24" s="87" t="s">
        <v>208</v>
      </c>
      <c r="L24" s="85">
        <v>18</v>
      </c>
      <c r="M24" s="88">
        <v>0</v>
      </c>
      <c r="O24" s="107"/>
      <c r="Q24" s="108" t="s">
        <v>10</v>
      </c>
      <c r="R24" s="153" t="s">
        <v>10</v>
      </c>
      <c r="S24" s="109" t="s">
        <v>10</v>
      </c>
      <c r="U24" s="93">
        <v>7.2</v>
      </c>
      <c r="V24" s="94">
        <v>7.1</v>
      </c>
      <c r="W24" s="95">
        <v>6.6</v>
      </c>
      <c r="Y24" s="90">
        <v>12</v>
      </c>
      <c r="Z24" s="96">
        <v>11</v>
      </c>
      <c r="AA24" s="92">
        <v>10</v>
      </c>
      <c r="AC24" s="93">
        <v>6</v>
      </c>
      <c r="AD24" s="91">
        <v>0</v>
      </c>
      <c r="AE24" s="97">
        <v>0</v>
      </c>
      <c r="AG24" s="45">
        <f t="shared" si="2"/>
        <v>13</v>
      </c>
      <c r="AI24" s="98"/>
      <c r="AJ24" s="55">
        <f t="shared" si="3"/>
      </c>
      <c r="AK24" s="98"/>
      <c r="AL24" s="55">
        <f t="shared" si="4"/>
      </c>
      <c r="AM24" s="98"/>
      <c r="AN24" s="55">
        <f t="shared" si="5"/>
      </c>
      <c r="AO24" s="110"/>
      <c r="AQ24" s="100"/>
      <c r="AR24" s="55">
        <f t="shared" si="6"/>
      </c>
      <c r="AS24" s="98"/>
      <c r="AT24" s="55">
        <f t="shared" si="7"/>
      </c>
      <c r="AU24" s="98"/>
      <c r="AV24" s="55">
        <f t="shared" si="8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5">
        <v>1533680</v>
      </c>
      <c r="D25" s="138">
        <f t="shared" si="0"/>
        <v>2.218</v>
      </c>
      <c r="E25" s="140">
        <v>3.7</v>
      </c>
      <c r="F25" s="141">
        <v>0.6</v>
      </c>
      <c r="G25" s="81" t="str">
        <f t="shared" si="1"/>
        <v>0.00</v>
      </c>
      <c r="H25" s="85">
        <v>0</v>
      </c>
      <c r="I25" s="86">
        <v>0</v>
      </c>
      <c r="K25" s="87" t="s">
        <v>210</v>
      </c>
      <c r="L25" s="85">
        <v>15</v>
      </c>
      <c r="M25" s="88">
        <v>0</v>
      </c>
      <c r="O25" s="107"/>
      <c r="Q25" s="108"/>
      <c r="R25" s="153"/>
      <c r="S25" s="109"/>
      <c r="U25" s="93">
        <v>7.2</v>
      </c>
      <c r="V25" s="94">
        <v>7.1</v>
      </c>
      <c r="W25" s="95">
        <v>6.4</v>
      </c>
      <c r="Y25" s="90">
        <v>12</v>
      </c>
      <c r="Z25" s="96">
        <v>11</v>
      </c>
      <c r="AA25" s="92">
        <v>10</v>
      </c>
      <c r="AC25" s="93">
        <v>5</v>
      </c>
      <c r="AD25" s="91">
        <v>0</v>
      </c>
      <c r="AE25" s="97">
        <v>0</v>
      </c>
      <c r="AG25" s="45">
        <f t="shared" si="2"/>
        <v>14</v>
      </c>
      <c r="AI25" s="98"/>
      <c r="AJ25" s="55">
        <f t="shared" si="3"/>
      </c>
      <c r="AK25" s="98"/>
      <c r="AL25" s="55">
        <f t="shared" si="4"/>
      </c>
      <c r="AM25" s="98"/>
      <c r="AN25" s="55">
        <f t="shared" si="5"/>
      </c>
      <c r="AO25" s="110"/>
      <c r="AQ25" s="100"/>
      <c r="AR25" s="55">
        <f t="shared" si="6"/>
      </c>
      <c r="AS25" s="98"/>
      <c r="AT25" s="55">
        <f t="shared" si="7"/>
      </c>
      <c r="AU25" s="98"/>
      <c r="AV25" s="55">
        <f t="shared" si="8"/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3">
        <v>1535863</v>
      </c>
      <c r="D26" s="139">
        <f t="shared" si="0"/>
        <v>2.183</v>
      </c>
      <c r="E26" s="142">
        <v>3.4</v>
      </c>
      <c r="F26" s="143">
        <v>0.6</v>
      </c>
      <c r="G26" s="184" t="str">
        <f t="shared" si="1"/>
        <v>0.00</v>
      </c>
      <c r="H26" s="113">
        <v>0</v>
      </c>
      <c r="I26" s="114">
        <v>0</v>
      </c>
      <c r="K26" s="115" t="s">
        <v>210</v>
      </c>
      <c r="L26" s="113">
        <v>5</v>
      </c>
      <c r="M26" s="116">
        <v>0</v>
      </c>
      <c r="O26" s="117"/>
      <c r="Q26" s="108" t="s">
        <v>11</v>
      </c>
      <c r="R26" s="153" t="s">
        <v>11</v>
      </c>
      <c r="S26" s="109" t="s">
        <v>11</v>
      </c>
      <c r="U26" s="118">
        <v>7.1</v>
      </c>
      <c r="V26" s="119">
        <v>7.1</v>
      </c>
      <c r="W26" s="120">
        <v>6.1</v>
      </c>
      <c r="Y26" s="121">
        <v>12</v>
      </c>
      <c r="Z26" s="122">
        <v>10</v>
      </c>
      <c r="AA26" s="123">
        <v>9</v>
      </c>
      <c r="AC26" s="118">
        <v>6</v>
      </c>
      <c r="AD26" s="124">
        <v>0</v>
      </c>
      <c r="AE26" s="125">
        <v>0</v>
      </c>
      <c r="AG26" s="45">
        <f t="shared" si="2"/>
        <v>15</v>
      </c>
      <c r="AI26" s="126">
        <v>235</v>
      </c>
      <c r="AJ26" s="65">
        <f t="shared" si="3"/>
        <v>4278.4617</v>
      </c>
      <c r="AK26" s="126"/>
      <c r="AL26" s="65">
        <f t="shared" si="4"/>
      </c>
      <c r="AM26" s="126">
        <v>16</v>
      </c>
      <c r="AN26" s="65">
        <f t="shared" si="5"/>
        <v>291.29952</v>
      </c>
      <c r="AO26" s="127">
        <v>13</v>
      </c>
      <c r="AQ26" s="128">
        <v>223</v>
      </c>
      <c r="AR26" s="65">
        <f t="shared" si="6"/>
        <v>4059.9870599999995</v>
      </c>
      <c r="AS26" s="126"/>
      <c r="AT26" s="65">
        <f t="shared" si="7"/>
      </c>
      <c r="AU26" s="126">
        <v>18</v>
      </c>
      <c r="AV26" s="65">
        <f t="shared" si="8"/>
        <v>327.71196</v>
      </c>
      <c r="AX26" s="128">
        <v>65776</v>
      </c>
      <c r="AY26" s="129">
        <v>2</v>
      </c>
      <c r="AZ26" s="130">
        <v>4</v>
      </c>
      <c r="BA26" s="126">
        <v>37.2</v>
      </c>
      <c r="BB26" s="130">
        <v>28</v>
      </c>
      <c r="BC26" s="126">
        <v>24</v>
      </c>
      <c r="BD26" s="126"/>
      <c r="BE26" s="131"/>
      <c r="BG26" s="128">
        <v>24</v>
      </c>
      <c r="BH26" s="111" t="s">
        <v>212</v>
      </c>
      <c r="BI26" s="132" t="s">
        <v>211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5">
        <v>1538012</v>
      </c>
      <c r="D27" s="138">
        <f t="shared" si="0"/>
        <v>2.149</v>
      </c>
      <c r="E27" s="140">
        <v>3.6</v>
      </c>
      <c r="F27" s="141">
        <v>0.6</v>
      </c>
      <c r="G27" s="81" t="str">
        <f t="shared" si="1"/>
        <v>0.00</v>
      </c>
      <c r="H27" s="85">
        <v>0</v>
      </c>
      <c r="I27" s="86">
        <v>1000</v>
      </c>
      <c r="K27" s="87" t="s">
        <v>210</v>
      </c>
      <c r="L27" s="85">
        <v>8</v>
      </c>
      <c r="M27" s="88">
        <v>0</v>
      </c>
      <c r="O27" s="107"/>
      <c r="Q27" s="108"/>
      <c r="R27" s="153"/>
      <c r="S27" s="109"/>
      <c r="U27" s="93">
        <v>7.2</v>
      </c>
      <c r="V27" s="94">
        <v>7.1</v>
      </c>
      <c r="W27" s="95">
        <v>6.4</v>
      </c>
      <c r="Y27" s="90">
        <v>12</v>
      </c>
      <c r="Z27" s="96">
        <v>10</v>
      </c>
      <c r="AA27" s="92">
        <v>9</v>
      </c>
      <c r="AC27" s="93">
        <v>5</v>
      </c>
      <c r="AD27" s="91">
        <v>0</v>
      </c>
      <c r="AE27" s="97">
        <v>0</v>
      </c>
      <c r="AG27" s="45">
        <f t="shared" si="2"/>
        <v>16</v>
      </c>
      <c r="AI27" s="98">
        <v>254</v>
      </c>
      <c r="AJ27" s="55">
        <f t="shared" si="3"/>
        <v>4552.35564</v>
      </c>
      <c r="AK27" s="98"/>
      <c r="AL27" s="55">
        <f t="shared" si="4"/>
      </c>
      <c r="AM27" s="98">
        <v>15</v>
      </c>
      <c r="AN27" s="55">
        <f t="shared" si="5"/>
        <v>268.8399</v>
      </c>
      <c r="AO27" s="110">
        <v>11</v>
      </c>
      <c r="AQ27" s="100">
        <v>238</v>
      </c>
      <c r="AR27" s="55">
        <f t="shared" si="6"/>
        <v>4265.59308</v>
      </c>
      <c r="AS27" s="98"/>
      <c r="AT27" s="55">
        <f t="shared" si="7"/>
      </c>
      <c r="AU27" s="98">
        <v>20</v>
      </c>
      <c r="AV27" s="55">
        <f t="shared" si="8"/>
        <v>358.45320000000004</v>
      </c>
      <c r="AX27" s="100">
        <v>24331</v>
      </c>
      <c r="AY27" s="101">
        <v>3</v>
      </c>
      <c r="AZ27" s="102">
        <v>1.25</v>
      </c>
      <c r="BA27" s="98">
        <v>12.4</v>
      </c>
      <c r="BB27" s="102">
        <v>27</v>
      </c>
      <c r="BC27" s="98">
        <v>8</v>
      </c>
      <c r="BD27" s="98"/>
      <c r="BE27" s="103"/>
      <c r="BG27" s="100">
        <v>8</v>
      </c>
      <c r="BH27" s="84" t="s">
        <v>212</v>
      </c>
      <c r="BI27" s="104" t="s">
        <v>211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5">
        <v>1540178</v>
      </c>
      <c r="D28" s="138">
        <f t="shared" si="0"/>
        <v>2.166</v>
      </c>
      <c r="E28" s="140">
        <v>3.6</v>
      </c>
      <c r="F28" s="141">
        <v>0.6</v>
      </c>
      <c r="G28" s="81" t="str">
        <f t="shared" si="1"/>
        <v>0.00</v>
      </c>
      <c r="H28" s="85">
        <v>1500</v>
      </c>
      <c r="I28" s="86">
        <v>1500</v>
      </c>
      <c r="K28" s="87" t="s">
        <v>210</v>
      </c>
      <c r="L28" s="85">
        <v>15</v>
      </c>
      <c r="M28" s="88">
        <v>0</v>
      </c>
      <c r="O28" s="107"/>
      <c r="Q28" s="108"/>
      <c r="R28" s="153"/>
      <c r="S28" s="109"/>
      <c r="U28" s="93">
        <v>7.2</v>
      </c>
      <c r="V28" s="94">
        <v>7.1</v>
      </c>
      <c r="W28" s="95">
        <v>6.3</v>
      </c>
      <c r="Y28" s="90">
        <v>11</v>
      </c>
      <c r="Z28" s="96">
        <v>10</v>
      </c>
      <c r="AA28" s="92">
        <v>10</v>
      </c>
      <c r="AC28" s="93">
        <v>9</v>
      </c>
      <c r="AD28" s="91">
        <v>0.01</v>
      </c>
      <c r="AE28" s="97">
        <v>0</v>
      </c>
      <c r="AG28" s="45">
        <f t="shared" si="2"/>
        <v>17</v>
      </c>
      <c r="AI28" s="98">
        <v>203</v>
      </c>
      <c r="AJ28" s="55">
        <f t="shared" si="3"/>
        <v>3667.08132</v>
      </c>
      <c r="AK28" s="98">
        <v>161</v>
      </c>
      <c r="AL28" s="55">
        <f t="shared" si="4"/>
        <v>2908.37484</v>
      </c>
      <c r="AM28" s="98">
        <v>15</v>
      </c>
      <c r="AN28" s="55">
        <f t="shared" si="5"/>
        <v>270.9666</v>
      </c>
      <c r="AO28" s="110">
        <v>11</v>
      </c>
      <c r="AQ28" s="100">
        <v>195</v>
      </c>
      <c r="AR28" s="55">
        <f t="shared" si="6"/>
        <v>3522.5658</v>
      </c>
      <c r="AS28" s="98">
        <v>44</v>
      </c>
      <c r="AT28" s="55">
        <f t="shared" si="7"/>
        <v>794.83536</v>
      </c>
      <c r="AU28" s="98">
        <v>13</v>
      </c>
      <c r="AV28" s="55">
        <f t="shared" si="8"/>
        <v>234.83772</v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39" t="s">
        <v>150</v>
      </c>
      <c r="BR28" s="239" t="s">
        <v>150</v>
      </c>
      <c r="BS28" s="239" t="s">
        <v>150</v>
      </c>
      <c r="BT28" s="239"/>
      <c r="BU28" s="239" t="s">
        <v>150</v>
      </c>
      <c r="BV28" s="147">
        <f>(CM23)</f>
        <v>0</v>
      </c>
      <c r="BW28" s="147">
        <f>MAX(AE12:AE42)</f>
        <v>0</v>
      </c>
      <c r="BX28" s="105" t="s">
        <v>128</v>
      </c>
      <c r="BY28" s="105"/>
      <c r="BZ28" s="105">
        <v>0</v>
      </c>
      <c r="CA28" s="145" t="s">
        <v>48</v>
      </c>
      <c r="CB28" s="105" t="s">
        <v>23</v>
      </c>
      <c r="CC28" s="137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5">
        <v>1542329</v>
      </c>
      <c r="D29" s="138">
        <f t="shared" si="0"/>
        <v>2.151</v>
      </c>
      <c r="E29" s="140">
        <v>3.8</v>
      </c>
      <c r="F29" s="141">
        <v>0.6</v>
      </c>
      <c r="G29" s="81" t="str">
        <f t="shared" si="1"/>
        <v>0.00</v>
      </c>
      <c r="H29" s="85">
        <v>0</v>
      </c>
      <c r="I29" s="86">
        <v>0</v>
      </c>
      <c r="K29" s="87" t="s">
        <v>208</v>
      </c>
      <c r="L29" s="85">
        <v>4</v>
      </c>
      <c r="M29" s="88">
        <v>0</v>
      </c>
      <c r="O29" s="107"/>
      <c r="Q29" s="108"/>
      <c r="R29" s="153"/>
      <c r="S29" s="109"/>
      <c r="U29" s="93">
        <v>7</v>
      </c>
      <c r="V29" s="94">
        <v>7.1</v>
      </c>
      <c r="W29" s="95">
        <v>6.6</v>
      </c>
      <c r="Y29" s="90">
        <v>11</v>
      </c>
      <c r="Z29" s="96">
        <v>9</v>
      </c>
      <c r="AA29" s="92">
        <v>8</v>
      </c>
      <c r="AC29" s="93">
        <v>3</v>
      </c>
      <c r="AD29" s="91">
        <v>0</v>
      </c>
      <c r="AE29" s="97">
        <v>0</v>
      </c>
      <c r="AG29" s="45">
        <f t="shared" si="2"/>
        <v>18</v>
      </c>
      <c r="AI29" s="98"/>
      <c r="AJ29" s="55">
        <f t="shared" si="3"/>
      </c>
      <c r="AK29" s="98"/>
      <c r="AL29" s="55">
        <f t="shared" si="4"/>
      </c>
      <c r="AM29" s="98"/>
      <c r="AN29" s="55">
        <f t="shared" si="5"/>
      </c>
      <c r="AO29" s="110"/>
      <c r="AQ29" s="100"/>
      <c r="AR29" s="55">
        <f t="shared" si="6"/>
      </c>
      <c r="AS29" s="98"/>
      <c r="AT29" s="55">
        <f t="shared" si="7"/>
      </c>
      <c r="AU29" s="98"/>
      <c r="AV29" s="55">
        <f t="shared" si="8"/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38" t="s">
        <v>150</v>
      </c>
      <c r="BR29" s="238" t="s">
        <v>150</v>
      </c>
      <c r="BS29" s="238" t="s">
        <v>150</v>
      </c>
      <c r="BT29" s="239"/>
      <c r="BU29" s="238" t="s">
        <v>150</v>
      </c>
      <c r="BV29" s="156" t="s">
        <v>146</v>
      </c>
      <c r="BW29" s="156">
        <v>0.3</v>
      </c>
      <c r="BX29" s="156" t="s">
        <v>128</v>
      </c>
      <c r="BY29" s="105"/>
      <c r="BZ29" s="238" t="s">
        <v>150</v>
      </c>
      <c r="CA29" s="158" t="s">
        <v>48</v>
      </c>
      <c r="CB29" s="156" t="s">
        <v>23</v>
      </c>
      <c r="CC29" s="137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5">
        <v>1544431</v>
      </c>
      <c r="D30" s="138">
        <f t="shared" si="0"/>
        <v>2.102</v>
      </c>
      <c r="E30" s="140">
        <v>3.6</v>
      </c>
      <c r="F30" s="141">
        <v>0.6</v>
      </c>
      <c r="G30" s="81" t="str">
        <f t="shared" si="1"/>
        <v>0.00</v>
      </c>
      <c r="H30" s="85">
        <v>0</v>
      </c>
      <c r="I30" s="86">
        <v>0</v>
      </c>
      <c r="K30" s="87" t="s">
        <v>208</v>
      </c>
      <c r="L30" s="85">
        <v>9</v>
      </c>
      <c r="M30" s="88">
        <v>0</v>
      </c>
      <c r="O30" s="107"/>
      <c r="Q30" s="108" t="s">
        <v>12</v>
      </c>
      <c r="R30" s="153" t="s">
        <v>12</v>
      </c>
      <c r="S30" s="109" t="s">
        <v>12</v>
      </c>
      <c r="U30" s="93">
        <v>6.8</v>
      </c>
      <c r="V30" s="94">
        <v>7</v>
      </c>
      <c r="W30" s="95">
        <v>6.7</v>
      </c>
      <c r="Y30" s="90">
        <v>11</v>
      </c>
      <c r="Z30" s="96">
        <v>9</v>
      </c>
      <c r="AA30" s="92">
        <v>8</v>
      </c>
      <c r="AC30" s="93">
        <v>2</v>
      </c>
      <c r="AD30" s="91">
        <v>0.01</v>
      </c>
      <c r="AE30" s="97">
        <v>0</v>
      </c>
      <c r="AG30" s="45">
        <f t="shared" si="2"/>
        <v>19</v>
      </c>
      <c r="AI30" s="98"/>
      <c r="AJ30" s="55">
        <f t="shared" si="3"/>
      </c>
      <c r="AK30" s="98"/>
      <c r="AL30" s="55">
        <f t="shared" si="4"/>
      </c>
      <c r="AM30" s="98"/>
      <c r="AN30" s="55">
        <f t="shared" si="5"/>
      </c>
      <c r="AO30" s="110"/>
      <c r="AQ30" s="100"/>
      <c r="AR30" s="55">
        <f t="shared" si="6"/>
      </c>
      <c r="AS30" s="98"/>
      <c r="AT30" s="55">
        <f t="shared" si="7"/>
      </c>
      <c r="AU30" s="98"/>
      <c r="AV30" s="55">
        <f t="shared" si="8"/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3">
        <v>1546566</v>
      </c>
      <c r="D31" s="139">
        <f t="shared" si="0"/>
        <v>2.135</v>
      </c>
      <c r="E31" s="142">
        <v>4</v>
      </c>
      <c r="F31" s="143">
        <v>0.6</v>
      </c>
      <c r="G31" s="184" t="str">
        <f t="shared" si="1"/>
        <v>0.00</v>
      </c>
      <c r="H31" s="113">
        <v>0</v>
      </c>
      <c r="I31" s="114">
        <v>0</v>
      </c>
      <c r="K31" s="115" t="s">
        <v>208</v>
      </c>
      <c r="L31" s="113">
        <v>14</v>
      </c>
      <c r="M31" s="116">
        <v>0</v>
      </c>
      <c r="O31" s="117"/>
      <c r="Q31" s="108"/>
      <c r="R31" s="153"/>
      <c r="S31" s="109"/>
      <c r="U31" s="118">
        <v>7.2</v>
      </c>
      <c r="V31" s="119">
        <v>7.1</v>
      </c>
      <c r="W31" s="120">
        <v>6.8</v>
      </c>
      <c r="Y31" s="121">
        <v>11</v>
      </c>
      <c r="Z31" s="122">
        <v>10</v>
      </c>
      <c r="AA31" s="123">
        <v>9</v>
      </c>
      <c r="AC31" s="118">
        <v>7.5</v>
      </c>
      <c r="AD31" s="124">
        <v>0</v>
      </c>
      <c r="AE31" s="125">
        <v>0</v>
      </c>
      <c r="AG31" s="45">
        <f t="shared" si="2"/>
        <v>20</v>
      </c>
      <c r="AI31" s="126"/>
      <c r="AJ31" s="65">
        <f t="shared" si="3"/>
      </c>
      <c r="AK31" s="126"/>
      <c r="AL31" s="65">
        <f t="shared" si="4"/>
      </c>
      <c r="AM31" s="126"/>
      <c r="AN31" s="65">
        <f t="shared" si="5"/>
      </c>
      <c r="AO31" s="127"/>
      <c r="AQ31" s="128"/>
      <c r="AR31" s="65">
        <f t="shared" si="6"/>
      </c>
      <c r="AS31" s="126"/>
      <c r="AT31" s="65">
        <f t="shared" si="7"/>
      </c>
      <c r="AU31" s="126"/>
      <c r="AV31" s="65">
        <f t="shared" si="8"/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5">
        <v>1548751</v>
      </c>
      <c r="D32" s="138">
        <f t="shared" si="0"/>
        <v>2.185</v>
      </c>
      <c r="E32" s="140">
        <v>3.8</v>
      </c>
      <c r="F32" s="141">
        <v>0.6</v>
      </c>
      <c r="G32" s="81" t="str">
        <f t="shared" si="1"/>
        <v>0.00</v>
      </c>
      <c r="H32" s="85">
        <v>0</v>
      </c>
      <c r="I32" s="86">
        <v>4000</v>
      </c>
      <c r="K32" s="87" t="s">
        <v>210</v>
      </c>
      <c r="L32" s="85">
        <v>7</v>
      </c>
      <c r="M32" s="88">
        <v>0</v>
      </c>
      <c r="O32" s="107"/>
      <c r="Q32" s="108" t="s">
        <v>13</v>
      </c>
      <c r="R32" s="153" t="s">
        <v>13</v>
      </c>
      <c r="S32" s="109" t="s">
        <v>13</v>
      </c>
      <c r="U32" s="93">
        <v>7.1</v>
      </c>
      <c r="V32" s="94">
        <v>7.1</v>
      </c>
      <c r="W32" s="95">
        <v>6.5</v>
      </c>
      <c r="Y32" s="90">
        <v>12</v>
      </c>
      <c r="Z32" s="96">
        <v>10</v>
      </c>
      <c r="AA32" s="92">
        <v>9</v>
      </c>
      <c r="AC32" s="93">
        <v>5</v>
      </c>
      <c r="AD32" s="91">
        <v>0</v>
      </c>
      <c r="AE32" s="97">
        <v>0</v>
      </c>
      <c r="AG32" s="45">
        <f t="shared" si="2"/>
        <v>21</v>
      </c>
      <c r="AI32" s="98"/>
      <c r="AJ32" s="55">
        <f t="shared" si="3"/>
      </c>
      <c r="AK32" s="98"/>
      <c r="AL32" s="55">
        <f t="shared" si="4"/>
      </c>
      <c r="AM32" s="98"/>
      <c r="AN32" s="55">
        <f t="shared" si="5"/>
      </c>
      <c r="AO32" s="110"/>
      <c r="AQ32" s="100"/>
      <c r="AR32" s="55">
        <f t="shared" si="6"/>
      </c>
      <c r="AS32" s="98"/>
      <c r="AT32" s="55">
        <f t="shared" si="7"/>
      </c>
      <c r="AU32" s="98"/>
      <c r="AV32" s="55">
        <f t="shared" si="8"/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5">
        <v>1550906</v>
      </c>
      <c r="D33" s="138">
        <f t="shared" si="0"/>
        <v>2.155</v>
      </c>
      <c r="E33" s="140">
        <v>3.6</v>
      </c>
      <c r="F33" s="141">
        <v>0.6</v>
      </c>
      <c r="G33" s="81" t="str">
        <f t="shared" si="1"/>
        <v>0.00</v>
      </c>
      <c r="H33" s="85">
        <v>0</v>
      </c>
      <c r="I33" s="86">
        <v>1000</v>
      </c>
      <c r="K33" s="87" t="s">
        <v>210</v>
      </c>
      <c r="L33" s="85">
        <v>0</v>
      </c>
      <c r="M33" s="88">
        <v>0</v>
      </c>
      <c r="O33" s="107"/>
      <c r="Q33" s="108"/>
      <c r="R33" s="153"/>
      <c r="S33" s="109"/>
      <c r="U33" s="93">
        <v>7.2</v>
      </c>
      <c r="V33" s="94">
        <v>7.1</v>
      </c>
      <c r="W33" s="95">
        <v>6.5</v>
      </c>
      <c r="Y33" s="90">
        <v>12</v>
      </c>
      <c r="Z33" s="96">
        <v>10</v>
      </c>
      <c r="AA33" s="92">
        <v>10</v>
      </c>
      <c r="AC33" s="93">
        <v>4</v>
      </c>
      <c r="AD33" s="91">
        <v>0</v>
      </c>
      <c r="AE33" s="97">
        <v>0</v>
      </c>
      <c r="AG33" s="45">
        <f t="shared" si="2"/>
        <v>22</v>
      </c>
      <c r="AI33" s="98">
        <v>293</v>
      </c>
      <c r="AJ33" s="55">
        <f t="shared" si="3"/>
        <v>5266.0010999999995</v>
      </c>
      <c r="AK33" s="98"/>
      <c r="AL33" s="55">
        <f t="shared" si="4"/>
      </c>
      <c r="AM33" s="98">
        <v>19</v>
      </c>
      <c r="AN33" s="55">
        <f t="shared" si="5"/>
        <v>341.4812999999999</v>
      </c>
      <c r="AO33" s="110">
        <v>15</v>
      </c>
      <c r="AQ33" s="100">
        <v>260</v>
      </c>
      <c r="AR33" s="55">
        <f t="shared" si="6"/>
        <v>4672.901999999999</v>
      </c>
      <c r="AS33" s="98"/>
      <c r="AT33" s="55">
        <f t="shared" si="7"/>
      </c>
      <c r="AU33" s="98">
        <v>23</v>
      </c>
      <c r="AV33" s="55">
        <f t="shared" si="8"/>
        <v>413.3721</v>
      </c>
      <c r="AX33" s="100">
        <v>95697</v>
      </c>
      <c r="AY33" s="101">
        <v>2</v>
      </c>
      <c r="AZ33" s="102">
        <v>5.75</v>
      </c>
      <c r="BA33" s="98">
        <v>52.7</v>
      </c>
      <c r="BB33" s="102">
        <v>26</v>
      </c>
      <c r="BC33" s="98">
        <v>12</v>
      </c>
      <c r="BD33" s="98"/>
      <c r="BE33" s="103"/>
      <c r="BG33" s="100">
        <v>12</v>
      </c>
      <c r="BH33" s="84" t="s">
        <v>212</v>
      </c>
      <c r="BI33" s="104" t="s">
        <v>211</v>
      </c>
      <c r="BK33" s="17"/>
      <c r="BL33" s="19"/>
      <c r="BM33" s="56" t="s">
        <v>1</v>
      </c>
      <c r="BN33" s="20"/>
      <c r="BO33" s="57" t="s">
        <v>130</v>
      </c>
      <c r="BP33" s="26"/>
      <c r="BQ33" s="148">
        <f>(D47)</f>
        <v>2.1717741935483867</v>
      </c>
      <c r="BR33" s="148">
        <f>(D45)</f>
        <v>2.502</v>
      </c>
      <c r="BS33" s="105" t="s">
        <v>127</v>
      </c>
      <c r="BT33" s="105"/>
      <c r="BU33" s="239" t="s">
        <v>150</v>
      </c>
      <c r="BV33" s="239" t="s">
        <v>150</v>
      </c>
      <c r="BW33" s="239" t="s">
        <v>150</v>
      </c>
      <c r="BX33" s="239" t="s">
        <v>150</v>
      </c>
      <c r="BY33" s="105"/>
      <c r="BZ33" s="105">
        <v>0</v>
      </c>
      <c r="CA33" s="149" t="s">
        <v>24</v>
      </c>
      <c r="CB33" s="105" t="s">
        <v>25</v>
      </c>
      <c r="CC33" s="137"/>
      <c r="CJ33" s="326" t="s">
        <v>17</v>
      </c>
      <c r="CK33" s="328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5">
        <v>1553059</v>
      </c>
      <c r="D34" s="138">
        <f t="shared" si="0"/>
        <v>2.153</v>
      </c>
      <c r="E34" s="140">
        <v>3.8</v>
      </c>
      <c r="F34" s="141">
        <v>0.6</v>
      </c>
      <c r="G34" s="81" t="str">
        <f t="shared" si="1"/>
        <v>0.00</v>
      </c>
      <c r="H34" s="85">
        <v>0</v>
      </c>
      <c r="I34" s="86">
        <v>1750</v>
      </c>
      <c r="K34" s="87" t="s">
        <v>210</v>
      </c>
      <c r="L34" s="85">
        <v>11</v>
      </c>
      <c r="M34" s="88">
        <v>0</v>
      </c>
      <c r="O34" s="107"/>
      <c r="Q34" s="108" t="s">
        <v>14</v>
      </c>
      <c r="R34" s="153" t="s">
        <v>14</v>
      </c>
      <c r="S34" s="109" t="s">
        <v>14</v>
      </c>
      <c r="U34" s="93">
        <v>7.2</v>
      </c>
      <c r="V34" s="94">
        <v>7.2</v>
      </c>
      <c r="W34" s="95">
        <v>6.8</v>
      </c>
      <c r="Y34" s="90">
        <v>12</v>
      </c>
      <c r="Z34" s="96">
        <v>10</v>
      </c>
      <c r="AA34" s="92">
        <v>11</v>
      </c>
      <c r="AC34" s="93">
        <v>6</v>
      </c>
      <c r="AD34" s="91">
        <v>0.01</v>
      </c>
      <c r="AE34" s="97">
        <v>0</v>
      </c>
      <c r="AG34" s="45">
        <f t="shared" si="2"/>
        <v>23</v>
      </c>
      <c r="AI34" s="98">
        <v>258</v>
      </c>
      <c r="AJ34" s="55">
        <f t="shared" si="3"/>
        <v>4632.653160000001</v>
      </c>
      <c r="AK34" s="98"/>
      <c r="AL34" s="55">
        <f t="shared" si="4"/>
      </c>
      <c r="AM34" s="98">
        <v>17</v>
      </c>
      <c r="AN34" s="55">
        <f t="shared" si="5"/>
        <v>305.25234</v>
      </c>
      <c r="AO34" s="110">
        <v>13</v>
      </c>
      <c r="AQ34" s="100">
        <v>236</v>
      </c>
      <c r="AR34" s="55">
        <f t="shared" si="6"/>
        <v>4237.62072</v>
      </c>
      <c r="AS34" s="98"/>
      <c r="AT34" s="55">
        <f t="shared" si="7"/>
      </c>
      <c r="AU34" s="98">
        <v>23</v>
      </c>
      <c r="AV34" s="55">
        <f t="shared" si="8"/>
        <v>412.98846</v>
      </c>
      <c r="AX34" s="100">
        <v>26315</v>
      </c>
      <c r="AY34" s="101">
        <v>3</v>
      </c>
      <c r="AZ34" s="102">
        <v>1.75</v>
      </c>
      <c r="BA34" s="98">
        <v>12.4</v>
      </c>
      <c r="BB34" s="102">
        <v>27</v>
      </c>
      <c r="BC34" s="98">
        <v>22</v>
      </c>
      <c r="BD34" s="98"/>
      <c r="BE34" s="103"/>
      <c r="BG34" s="100">
        <v>22</v>
      </c>
      <c r="BH34" s="84" t="s">
        <v>212</v>
      </c>
      <c r="BI34" s="104" t="s">
        <v>211</v>
      </c>
      <c r="BK34" s="17"/>
      <c r="BL34" s="19"/>
      <c r="BM34" s="26" t="s">
        <v>86</v>
      </c>
      <c r="BN34" s="20"/>
      <c r="BO34" s="154" t="s">
        <v>131</v>
      </c>
      <c r="BP34" s="26"/>
      <c r="BQ34" s="160">
        <v>3.85</v>
      </c>
      <c r="BR34" s="156" t="s">
        <v>146</v>
      </c>
      <c r="BS34" s="156" t="s">
        <v>127</v>
      </c>
      <c r="BT34" s="105"/>
      <c r="BU34" s="238" t="s">
        <v>150</v>
      </c>
      <c r="BV34" s="238" t="s">
        <v>150</v>
      </c>
      <c r="BW34" s="238" t="s">
        <v>150</v>
      </c>
      <c r="BX34" s="238" t="s">
        <v>150</v>
      </c>
      <c r="BY34" s="105"/>
      <c r="BZ34" s="238" t="s">
        <v>150</v>
      </c>
      <c r="CA34" s="161" t="s">
        <v>24</v>
      </c>
      <c r="CB34" s="156" t="s">
        <v>25</v>
      </c>
      <c r="CC34" s="137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5">
        <v>1555244</v>
      </c>
      <c r="D35" s="138">
        <f t="shared" si="0"/>
        <v>2.185</v>
      </c>
      <c r="E35" s="140">
        <v>3.8</v>
      </c>
      <c r="F35" s="141">
        <v>0.6</v>
      </c>
      <c r="G35" s="81" t="str">
        <f t="shared" si="1"/>
        <v>0.00</v>
      </c>
      <c r="H35" s="85">
        <v>800</v>
      </c>
      <c r="I35" s="86">
        <v>750</v>
      </c>
      <c r="K35" s="87" t="s">
        <v>210</v>
      </c>
      <c r="L35" s="85">
        <v>10</v>
      </c>
      <c r="M35" s="88">
        <v>0</v>
      </c>
      <c r="O35" s="107"/>
      <c r="Q35" s="108"/>
      <c r="R35" s="153"/>
      <c r="S35" s="109"/>
      <c r="U35" s="93">
        <v>7.1</v>
      </c>
      <c r="V35" s="94">
        <v>7.1</v>
      </c>
      <c r="W35" s="95">
        <v>6.5</v>
      </c>
      <c r="Y35" s="90">
        <v>11</v>
      </c>
      <c r="Z35" s="96">
        <v>11</v>
      </c>
      <c r="AA35" s="92">
        <v>10</v>
      </c>
      <c r="AC35" s="93">
        <v>5.5</v>
      </c>
      <c r="AD35" s="91">
        <v>0.01</v>
      </c>
      <c r="AE35" s="97">
        <v>0</v>
      </c>
      <c r="AG35" s="45">
        <f t="shared" si="2"/>
        <v>24</v>
      </c>
      <c r="AI35" s="98">
        <v>270</v>
      </c>
      <c r="AJ35" s="55">
        <f t="shared" si="3"/>
        <v>4920.183</v>
      </c>
      <c r="AK35" s="98">
        <v>179</v>
      </c>
      <c r="AL35" s="55">
        <f t="shared" si="4"/>
        <v>3261.8991</v>
      </c>
      <c r="AM35" s="98">
        <v>18</v>
      </c>
      <c r="AN35" s="55">
        <f t="shared" si="5"/>
        <v>328.0122</v>
      </c>
      <c r="AO35" s="110">
        <v>12</v>
      </c>
      <c r="AQ35" s="100">
        <v>259</v>
      </c>
      <c r="AR35" s="55">
        <f t="shared" si="6"/>
        <v>4719.7311</v>
      </c>
      <c r="AS35" s="98">
        <v>81</v>
      </c>
      <c r="AT35" s="55">
        <f t="shared" si="7"/>
        <v>1476.0549</v>
      </c>
      <c r="AU35" s="98">
        <v>25</v>
      </c>
      <c r="AV35" s="55">
        <f t="shared" si="8"/>
        <v>455.5725</v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3">
        <v>1557375</v>
      </c>
      <c r="D36" s="139">
        <f t="shared" si="0"/>
        <v>2.131</v>
      </c>
      <c r="E36" s="142">
        <v>4</v>
      </c>
      <c r="F36" s="143">
        <v>0.6</v>
      </c>
      <c r="G36" s="184" t="str">
        <f t="shared" si="1"/>
        <v>0.00</v>
      </c>
      <c r="H36" s="113">
        <v>0</v>
      </c>
      <c r="I36" s="114">
        <v>0</v>
      </c>
      <c r="K36" s="115" t="s">
        <v>208</v>
      </c>
      <c r="L36" s="113">
        <v>15</v>
      </c>
      <c r="M36" s="116">
        <v>0</v>
      </c>
      <c r="O36" s="117"/>
      <c r="Q36" s="108" t="s">
        <v>12</v>
      </c>
      <c r="R36" s="153" t="s">
        <v>12</v>
      </c>
      <c r="S36" s="109" t="s">
        <v>12</v>
      </c>
      <c r="U36" s="118">
        <v>7.1</v>
      </c>
      <c r="V36" s="119">
        <v>7</v>
      </c>
      <c r="W36" s="120">
        <v>6.4</v>
      </c>
      <c r="Y36" s="121">
        <v>12</v>
      </c>
      <c r="Z36" s="122">
        <v>10</v>
      </c>
      <c r="AA36" s="123">
        <v>10</v>
      </c>
      <c r="AC36" s="118">
        <v>5</v>
      </c>
      <c r="AD36" s="124">
        <v>0.01</v>
      </c>
      <c r="AE36" s="125">
        <v>0</v>
      </c>
      <c r="AG36" s="45">
        <f t="shared" si="2"/>
        <v>25</v>
      </c>
      <c r="AI36" s="126"/>
      <c r="AJ36" s="65">
        <f t="shared" si="3"/>
      </c>
      <c r="AK36" s="126"/>
      <c r="AL36" s="65">
        <f t="shared" si="4"/>
      </c>
      <c r="AM36" s="126"/>
      <c r="AN36" s="65">
        <f t="shared" si="5"/>
      </c>
      <c r="AO36" s="127"/>
      <c r="AQ36" s="128"/>
      <c r="AR36" s="65">
        <f t="shared" si="6"/>
      </c>
      <c r="AS36" s="126"/>
      <c r="AT36" s="65">
        <f t="shared" si="7"/>
      </c>
      <c r="AU36" s="126"/>
      <c r="AV36" s="65">
        <f t="shared" si="8"/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5">
        <v>1559458</v>
      </c>
      <c r="D37" s="138">
        <f t="shared" si="0"/>
        <v>2.083</v>
      </c>
      <c r="E37" s="140">
        <v>3.8</v>
      </c>
      <c r="F37" s="141">
        <v>0.6</v>
      </c>
      <c r="G37" s="81" t="str">
        <f t="shared" si="1"/>
        <v>0.00</v>
      </c>
      <c r="H37" s="85">
        <v>0</v>
      </c>
      <c r="I37" s="86">
        <v>2500</v>
      </c>
      <c r="K37" s="87" t="s">
        <v>210</v>
      </c>
      <c r="L37" s="85">
        <v>26</v>
      </c>
      <c r="M37" s="88">
        <v>0</v>
      </c>
      <c r="O37" s="107"/>
      <c r="Q37" s="108"/>
      <c r="R37" s="153"/>
      <c r="S37" s="109"/>
      <c r="U37" s="93">
        <v>7.1</v>
      </c>
      <c r="V37" s="94">
        <v>7</v>
      </c>
      <c r="W37" s="95">
        <v>6.3</v>
      </c>
      <c r="Y37" s="90">
        <v>12</v>
      </c>
      <c r="Z37" s="96">
        <v>11</v>
      </c>
      <c r="AA37" s="92">
        <v>10</v>
      </c>
      <c r="AC37" s="93">
        <v>6.5</v>
      </c>
      <c r="AD37" s="91">
        <v>0.01</v>
      </c>
      <c r="AE37" s="97">
        <v>0</v>
      </c>
      <c r="AG37" s="45">
        <f t="shared" si="2"/>
        <v>26</v>
      </c>
      <c r="AI37" s="98"/>
      <c r="AJ37" s="55">
        <f t="shared" si="3"/>
      </c>
      <c r="AK37" s="98"/>
      <c r="AL37" s="55">
        <f t="shared" si="4"/>
      </c>
      <c r="AM37" s="98"/>
      <c r="AN37" s="55">
        <f t="shared" si="5"/>
      </c>
      <c r="AO37" s="110"/>
      <c r="AQ37" s="100"/>
      <c r="AR37" s="55">
        <f t="shared" si="6"/>
      </c>
      <c r="AS37" s="98"/>
      <c r="AT37" s="55">
        <f t="shared" si="7"/>
      </c>
      <c r="AU37" s="98"/>
      <c r="AV37" s="55">
        <f t="shared" si="8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2">
        <f>(IF(((SUM(AJ12:AJ42))=0)," ",(((AJ47-(D47*AO47*8.346))/AJ47)*100)))</f>
        <v>95.0752907710219</v>
      </c>
      <c r="CK37" s="333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5">
        <v>1561517</v>
      </c>
      <c r="D38" s="138">
        <f t="shared" si="0"/>
        <v>2.059</v>
      </c>
      <c r="E38" s="140">
        <v>3.6</v>
      </c>
      <c r="F38" s="141">
        <v>0.6</v>
      </c>
      <c r="G38" s="81" t="str">
        <f t="shared" si="1"/>
        <v>0.00</v>
      </c>
      <c r="H38" s="85">
        <v>500</v>
      </c>
      <c r="I38" s="86">
        <v>2000</v>
      </c>
      <c r="K38" s="87" t="s">
        <v>208</v>
      </c>
      <c r="L38" s="85">
        <v>13</v>
      </c>
      <c r="M38" s="88">
        <v>0.01</v>
      </c>
      <c r="O38" s="107"/>
      <c r="Q38" s="108" t="s">
        <v>10</v>
      </c>
      <c r="R38" s="153" t="s">
        <v>10</v>
      </c>
      <c r="S38" s="109" t="s">
        <v>10</v>
      </c>
      <c r="U38" s="93">
        <v>7.3</v>
      </c>
      <c r="V38" s="94">
        <v>7.1</v>
      </c>
      <c r="W38" s="95">
        <v>6.7</v>
      </c>
      <c r="Y38" s="90">
        <v>12</v>
      </c>
      <c r="Z38" s="96">
        <v>11</v>
      </c>
      <c r="AA38" s="92">
        <v>10</v>
      </c>
      <c r="AC38" s="93">
        <v>7</v>
      </c>
      <c r="AD38" s="91">
        <v>0</v>
      </c>
      <c r="AE38" s="97">
        <v>0</v>
      </c>
      <c r="AG38" s="45">
        <f t="shared" si="2"/>
        <v>27</v>
      </c>
      <c r="AI38" s="98"/>
      <c r="AJ38" s="55">
        <f t="shared" si="3"/>
      </c>
      <c r="AK38" s="98"/>
      <c r="AL38" s="55">
        <f t="shared" si="4"/>
      </c>
      <c r="AM38" s="98"/>
      <c r="AN38" s="55">
        <f t="shared" si="5"/>
      </c>
      <c r="AO38" s="110"/>
      <c r="AQ38" s="100"/>
      <c r="AR38" s="55">
        <f t="shared" si="6"/>
      </c>
      <c r="AS38" s="98"/>
      <c r="AT38" s="55">
        <f t="shared" si="7"/>
      </c>
      <c r="AU38" s="98"/>
      <c r="AV38" s="55">
        <f t="shared" si="8"/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39" t="s">
        <v>150</v>
      </c>
      <c r="BR38" s="239" t="s">
        <v>150</v>
      </c>
      <c r="BS38" s="239" t="s">
        <v>150</v>
      </c>
      <c r="BT38" s="105"/>
      <c r="BU38" s="146">
        <f>(AN49)</f>
        <v>93.11011129809835</v>
      </c>
      <c r="BV38" s="239" t="s">
        <v>150</v>
      </c>
      <c r="BW38" s="239" t="s">
        <v>150</v>
      </c>
      <c r="BX38" s="105" t="s">
        <v>129</v>
      </c>
      <c r="BY38" s="105"/>
      <c r="BZ38" s="105">
        <v>0</v>
      </c>
      <c r="CA38" s="145" t="s">
        <v>49</v>
      </c>
      <c r="CB38" s="105" t="s">
        <v>26</v>
      </c>
      <c r="CC38" s="137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5">
        <v>1563641</v>
      </c>
      <c r="D39" s="138">
        <f t="shared" si="0"/>
        <v>2.124</v>
      </c>
      <c r="E39" s="140">
        <v>3.8</v>
      </c>
      <c r="F39" s="141">
        <v>0.6</v>
      </c>
      <c r="G39" s="81" t="str">
        <f t="shared" si="1"/>
        <v>0.00</v>
      </c>
      <c r="H39" s="85">
        <v>1000</v>
      </c>
      <c r="I39" s="86">
        <v>1000</v>
      </c>
      <c r="K39" s="87" t="s">
        <v>210</v>
      </c>
      <c r="L39" s="85">
        <v>7</v>
      </c>
      <c r="M39" s="88">
        <v>0</v>
      </c>
      <c r="O39" s="107"/>
      <c r="Q39" s="108"/>
      <c r="R39" s="153"/>
      <c r="S39" s="109"/>
      <c r="U39" s="93">
        <v>7.2</v>
      </c>
      <c r="V39" s="94">
        <v>7.2</v>
      </c>
      <c r="W39" s="95">
        <v>6.4</v>
      </c>
      <c r="Y39" s="90">
        <v>12</v>
      </c>
      <c r="Z39" s="96">
        <v>10</v>
      </c>
      <c r="AA39" s="92">
        <v>10</v>
      </c>
      <c r="AC39" s="93">
        <v>12</v>
      </c>
      <c r="AD39" s="91">
        <v>0</v>
      </c>
      <c r="AE39" s="97">
        <v>0</v>
      </c>
      <c r="AG39" s="45">
        <f t="shared" si="2"/>
        <v>28</v>
      </c>
      <c r="AI39" s="98"/>
      <c r="AJ39" s="55">
        <f t="shared" si="3"/>
      </c>
      <c r="AK39" s="98"/>
      <c r="AL39" s="55">
        <f t="shared" si="4"/>
      </c>
      <c r="AM39" s="98"/>
      <c r="AN39" s="55">
        <f t="shared" si="5"/>
      </c>
      <c r="AO39" s="110"/>
      <c r="AQ39" s="100"/>
      <c r="AR39" s="55">
        <f t="shared" si="6"/>
      </c>
      <c r="AS39" s="98"/>
      <c r="AT39" s="55">
        <f t="shared" si="7"/>
      </c>
      <c r="AU39" s="98"/>
      <c r="AV39" s="55">
        <f t="shared" si="8"/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38" t="s">
        <v>150</v>
      </c>
      <c r="BR39" s="238" t="s">
        <v>150</v>
      </c>
      <c r="BS39" s="238" t="s">
        <v>150</v>
      </c>
      <c r="BT39" s="105"/>
      <c r="BU39" s="159">
        <v>85</v>
      </c>
      <c r="BV39" s="238" t="s">
        <v>150</v>
      </c>
      <c r="BW39" s="238" t="s">
        <v>150</v>
      </c>
      <c r="BX39" s="156" t="s">
        <v>129</v>
      </c>
      <c r="BY39" s="105"/>
      <c r="BZ39" s="238" t="s">
        <v>150</v>
      </c>
      <c r="CA39" s="158" t="s">
        <v>49</v>
      </c>
      <c r="CB39" s="156" t="s">
        <v>26</v>
      </c>
      <c r="CC39" s="137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4">
        <v>29</v>
      </c>
      <c r="C40" s="85">
        <v>1565747</v>
      </c>
      <c r="D40" s="138">
        <f t="shared" si="0"/>
        <v>2.106</v>
      </c>
      <c r="E40" s="140">
        <v>3.5</v>
      </c>
      <c r="F40" s="141">
        <v>0.6</v>
      </c>
      <c r="G40" s="81" t="str">
        <f t="shared" si="1"/>
        <v>0.00</v>
      </c>
      <c r="H40" s="85">
        <v>4000</v>
      </c>
      <c r="I40" s="86">
        <v>1750</v>
      </c>
      <c r="K40" s="87" t="s">
        <v>208</v>
      </c>
      <c r="L40" s="85">
        <v>18</v>
      </c>
      <c r="M40" s="88">
        <v>0</v>
      </c>
      <c r="O40" s="107"/>
      <c r="Q40" s="108" t="s">
        <v>15</v>
      </c>
      <c r="R40" s="153" t="s">
        <v>15</v>
      </c>
      <c r="S40" s="109" t="s">
        <v>15</v>
      </c>
      <c r="U40" s="93">
        <v>7.3</v>
      </c>
      <c r="V40" s="94">
        <v>7.1</v>
      </c>
      <c r="W40" s="95">
        <v>6.4</v>
      </c>
      <c r="Y40" s="90">
        <v>12</v>
      </c>
      <c r="Z40" s="96">
        <v>11</v>
      </c>
      <c r="AA40" s="92">
        <v>10</v>
      </c>
      <c r="AC40" s="93">
        <v>6</v>
      </c>
      <c r="AD40" s="91">
        <v>0.01</v>
      </c>
      <c r="AE40" s="97">
        <v>0</v>
      </c>
      <c r="AG40" s="45">
        <f t="shared" si="2"/>
        <v>29</v>
      </c>
      <c r="AI40" s="98">
        <v>274</v>
      </c>
      <c r="AJ40" s="55">
        <f t="shared" si="3"/>
        <v>4812.54696</v>
      </c>
      <c r="AK40" s="98"/>
      <c r="AL40" s="55">
        <f t="shared" si="4"/>
      </c>
      <c r="AM40" s="98">
        <v>18</v>
      </c>
      <c r="AN40" s="55">
        <f t="shared" si="5"/>
        <v>316.15272</v>
      </c>
      <c r="AO40" s="110">
        <v>13</v>
      </c>
      <c r="AQ40" s="100">
        <v>260</v>
      </c>
      <c r="AR40" s="55">
        <f t="shared" si="6"/>
        <v>4566.6503999999995</v>
      </c>
      <c r="AS40" s="98"/>
      <c r="AT40" s="55">
        <f t="shared" si="7"/>
      </c>
      <c r="AU40" s="98">
        <v>23</v>
      </c>
      <c r="AV40" s="55">
        <f t="shared" si="8"/>
        <v>403.97291999999993</v>
      </c>
      <c r="AX40" s="100">
        <v>78559</v>
      </c>
      <c r="AY40" s="101">
        <v>3</v>
      </c>
      <c r="AZ40" s="102">
        <v>3.5</v>
      </c>
      <c r="BA40" s="98">
        <v>40.3</v>
      </c>
      <c r="BB40" s="102">
        <v>26</v>
      </c>
      <c r="BC40" s="98">
        <v>24</v>
      </c>
      <c r="BD40" s="98"/>
      <c r="BE40" s="103"/>
      <c r="BG40" s="100">
        <v>24</v>
      </c>
      <c r="BH40" s="84" t="s">
        <v>212</v>
      </c>
      <c r="BI40" s="104" t="s">
        <v>211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4">
        <v>30</v>
      </c>
      <c r="C41" s="85">
        <v>1567835</v>
      </c>
      <c r="D41" s="138">
        <f t="shared" si="0"/>
        <v>2.088</v>
      </c>
      <c r="E41" s="140">
        <v>3.7</v>
      </c>
      <c r="F41" s="141">
        <v>0.6</v>
      </c>
      <c r="G41" s="81" t="str">
        <f t="shared" si="1"/>
        <v>0.00</v>
      </c>
      <c r="H41" s="85">
        <v>0</v>
      </c>
      <c r="I41" s="86">
        <v>2750</v>
      </c>
      <c r="K41" s="87" t="s">
        <v>210</v>
      </c>
      <c r="L41" s="85">
        <v>19</v>
      </c>
      <c r="M41" s="88">
        <v>0</v>
      </c>
      <c r="O41" s="107"/>
      <c r="Q41" s="108"/>
      <c r="R41" s="153"/>
      <c r="S41" s="109"/>
      <c r="U41" s="93">
        <v>7.3</v>
      </c>
      <c r="V41" s="94">
        <v>7.2</v>
      </c>
      <c r="W41" s="95">
        <v>6.5</v>
      </c>
      <c r="Y41" s="90">
        <v>12</v>
      </c>
      <c r="Z41" s="96">
        <v>9</v>
      </c>
      <c r="AA41" s="92">
        <v>9</v>
      </c>
      <c r="AC41" s="93">
        <v>5</v>
      </c>
      <c r="AD41" s="91">
        <v>0.3</v>
      </c>
      <c r="AE41" s="97">
        <v>0</v>
      </c>
      <c r="AG41" s="45">
        <f t="shared" si="2"/>
        <v>30</v>
      </c>
      <c r="AI41" s="98">
        <v>257</v>
      </c>
      <c r="AJ41" s="55">
        <f t="shared" si="3"/>
        <v>4475.37744</v>
      </c>
      <c r="AK41" s="98"/>
      <c r="AL41" s="55">
        <f t="shared" si="4"/>
      </c>
      <c r="AM41" s="98">
        <v>19</v>
      </c>
      <c r="AN41" s="55">
        <f t="shared" si="5"/>
        <v>330.86448</v>
      </c>
      <c r="AO41" s="110">
        <v>14</v>
      </c>
      <c r="AQ41" s="100">
        <v>230</v>
      </c>
      <c r="AR41" s="55">
        <f t="shared" si="6"/>
        <v>4005.2016</v>
      </c>
      <c r="AS41" s="98"/>
      <c r="AT41" s="55">
        <f t="shared" si="7"/>
      </c>
      <c r="AU41" s="98">
        <v>26</v>
      </c>
      <c r="AV41" s="55">
        <f t="shared" si="8"/>
        <v>452.76192000000003</v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4">
        <v>31</v>
      </c>
      <c r="C42" s="113">
        <v>1569909</v>
      </c>
      <c r="D42" s="139">
        <f t="shared" si="0"/>
        <v>2.074</v>
      </c>
      <c r="E42" s="142">
        <v>3.5</v>
      </c>
      <c r="F42" s="143">
        <v>0.6</v>
      </c>
      <c r="G42" s="184" t="str">
        <f t="shared" si="1"/>
        <v>0.00</v>
      </c>
      <c r="H42" s="113">
        <v>2700</v>
      </c>
      <c r="I42" s="114">
        <v>3000</v>
      </c>
      <c r="K42" s="115" t="s">
        <v>208</v>
      </c>
      <c r="L42" s="113">
        <v>30</v>
      </c>
      <c r="M42" s="116">
        <v>0</v>
      </c>
      <c r="O42" s="117"/>
      <c r="Q42" s="133"/>
      <c r="R42" s="112"/>
      <c r="S42" s="114"/>
      <c r="U42" s="134">
        <v>7.6</v>
      </c>
      <c r="V42" s="135">
        <v>7.3</v>
      </c>
      <c r="W42" s="136">
        <v>6.1</v>
      </c>
      <c r="Y42" s="133">
        <v>11</v>
      </c>
      <c r="Z42" s="113">
        <v>11</v>
      </c>
      <c r="AA42" s="114">
        <v>11</v>
      </c>
      <c r="AC42" s="134">
        <v>7</v>
      </c>
      <c r="AD42" s="112">
        <v>0</v>
      </c>
      <c r="AE42" s="116">
        <v>0</v>
      </c>
      <c r="AG42" s="45">
        <f t="shared" si="2"/>
        <v>31</v>
      </c>
      <c r="AI42" s="126">
        <v>308</v>
      </c>
      <c r="AJ42" s="65">
        <f t="shared" si="3"/>
        <v>5327.525279999999</v>
      </c>
      <c r="AK42" s="126">
        <v>174</v>
      </c>
      <c r="AL42" s="65">
        <f t="shared" si="4"/>
        <v>3009.7058399999996</v>
      </c>
      <c r="AM42" s="126">
        <v>22</v>
      </c>
      <c r="AN42" s="65">
        <f t="shared" si="5"/>
        <v>380.53752</v>
      </c>
      <c r="AO42" s="127">
        <v>13</v>
      </c>
      <c r="AQ42" s="128">
        <v>265</v>
      </c>
      <c r="AR42" s="65">
        <f t="shared" si="6"/>
        <v>4583.7474</v>
      </c>
      <c r="AS42" s="126">
        <v>80</v>
      </c>
      <c r="AT42" s="65">
        <f t="shared" si="7"/>
        <v>1383.7728</v>
      </c>
      <c r="AU42" s="126">
        <v>24</v>
      </c>
      <c r="AV42" s="65">
        <f t="shared" si="8"/>
        <v>415.13183999999995</v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9" t="s">
        <v>150</v>
      </c>
      <c r="BR43" s="239" t="s">
        <v>150</v>
      </c>
      <c r="BS43" s="239" t="s">
        <v>150</v>
      </c>
      <c r="BT43" s="105"/>
      <c r="BU43" s="146">
        <f>(AU49)</f>
        <v>90.88300924450112</v>
      </c>
      <c r="BV43" s="239" t="s">
        <v>150</v>
      </c>
      <c r="BW43" s="239" t="s">
        <v>150</v>
      </c>
      <c r="BX43" s="105" t="s">
        <v>129</v>
      </c>
      <c r="BY43" s="105"/>
      <c r="BZ43" s="105">
        <v>0</v>
      </c>
      <c r="CA43" s="145" t="s">
        <v>49</v>
      </c>
      <c r="CB43" s="105" t="s">
        <v>26</v>
      </c>
      <c r="CC43" s="137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9">
        <f>(IF(((SUM(C12:C42))=0)," ",((MAX(C12:C42))-C11)))</f>
        <v>67325</v>
      </c>
      <c r="D44" s="228">
        <f>(IF(((SUM(D12:D42))=0)," ",(SUM(D12:D42))))</f>
        <v>67.32499999999999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18700</v>
      </c>
      <c r="I44" s="196">
        <f>(IF(((SUM(I12:I42))=0)," ",(SUM(I12:I42))))</f>
        <v>34250</v>
      </c>
      <c r="K44" s="200" t="s">
        <v>150</v>
      </c>
      <c r="L44" s="201" t="s">
        <v>150</v>
      </c>
      <c r="M44" s="202">
        <f>(IF(((SUM(M12:M42))=0)," ",(SUM(M11:M42))))</f>
        <v>0.25</v>
      </c>
      <c r="O44" s="203" t="str">
        <f>(IF(((SUM(O12:O42))=0),"0.0",(SUM(O11:O42))))</f>
        <v>0.0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464993</v>
      </c>
      <c r="AY44" s="201" t="s">
        <v>150</v>
      </c>
      <c r="AZ44" s="212">
        <f>(IF(((SUM(AZ12:AZ42))=0)," ",(SUM(AZ12:AZ42))))</f>
        <v>26.75</v>
      </c>
      <c r="BA44" s="199">
        <f>(IF(((SUM(BA12:BA42))=0)," ",(SUM(BA12:BA42))))</f>
        <v>244.8</v>
      </c>
      <c r="BB44" s="207" t="s">
        <v>150</v>
      </c>
      <c r="BC44" s="199">
        <f>(IF(((SUM(BC12:BC42))=0)," ",(SUM(BC12:BC42))))</f>
        <v>150</v>
      </c>
      <c r="BD44" s="189" t="str">
        <f>(IF(((SUM(BD12:BD42))=0)," ",(SUM(BD12:BD42))))</f>
        <v> </v>
      </c>
      <c r="BE44" s="210" t="s">
        <v>150</v>
      </c>
      <c r="BG44" s="213">
        <f>(IF(((SUM(BG12:BG42))=0)," ",(SUM(BG12:BG42))))</f>
        <v>150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38" t="s">
        <v>150</v>
      </c>
      <c r="BR44" s="238" t="s">
        <v>150</v>
      </c>
      <c r="BS44" s="238" t="s">
        <v>150</v>
      </c>
      <c r="BT44" s="105"/>
      <c r="BU44" s="159">
        <v>85</v>
      </c>
      <c r="BV44" s="238" t="s">
        <v>150</v>
      </c>
      <c r="BW44" s="238" t="s">
        <v>150</v>
      </c>
      <c r="BX44" s="156" t="s">
        <v>129</v>
      </c>
      <c r="BY44" s="105"/>
      <c r="BZ44" s="238" t="s">
        <v>150</v>
      </c>
      <c r="CA44" s="158" t="s">
        <v>49</v>
      </c>
      <c r="CB44" s="156" t="s">
        <v>26</v>
      </c>
      <c r="CC44" s="137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9" t="s">
        <v>150</v>
      </c>
      <c r="D45" s="217">
        <f aca="true" t="shared" si="9" ref="D45:I45">(IF((SUM(D12:D42))=0," ",(MAX(D12:D42))))</f>
        <v>2.502</v>
      </c>
      <c r="E45" s="216">
        <f t="shared" si="9"/>
        <v>4.2</v>
      </c>
      <c r="F45" s="217">
        <f t="shared" si="9"/>
        <v>1.2</v>
      </c>
      <c r="G45" s="216">
        <f>(MAX(G12:G42))</f>
        <v>0</v>
      </c>
      <c r="H45" s="162">
        <f t="shared" si="9"/>
        <v>4000</v>
      </c>
      <c r="I45" s="163">
        <f t="shared" si="9"/>
        <v>4000</v>
      </c>
      <c r="K45" s="180" t="s">
        <v>150</v>
      </c>
      <c r="L45" s="183">
        <f>(IF((SUM(L12:L42))=0," ",(MAX(L12:L42))))</f>
        <v>32</v>
      </c>
      <c r="M45" s="219">
        <f>(IF((SUM(M12:M42))=0," ",(MAX(M12:M42))))</f>
        <v>0.09</v>
      </c>
      <c r="O45" s="220" t="s">
        <v>150</v>
      </c>
      <c r="Q45" s="221" t="s">
        <v>150</v>
      </c>
      <c r="R45" s="233" t="str">
        <f>(IF(((SUM(R12:R42))=0),"-",(MAX(R12:R42))))</f>
        <v>-</v>
      </c>
      <c r="S45" s="234" t="str">
        <f>(IF(((SUM(S12:S42))=0),"-",(MAX(S12:S42))))</f>
        <v>-</v>
      </c>
      <c r="U45" s="222">
        <f>(IF((SUM(U12:U42))=0," ",(MAX(U12:U42))))</f>
        <v>7.6</v>
      </c>
      <c r="V45" s="183">
        <f>(IF((SUM(V12:V42))=0," ",(MAX(V12:V42))))</f>
        <v>7.3</v>
      </c>
      <c r="W45" s="223">
        <f>(IF((SUM(W12:W42))=0," ",(MAX(W12:W42))))</f>
        <v>6.8</v>
      </c>
      <c r="Y45" s="218">
        <f>(IF((SUM(Y12:Y42))=0," ",(MAX(Y12:Y42))))</f>
        <v>13</v>
      </c>
      <c r="Z45" s="162">
        <f>(IF((SUM(Z12:Z42))=0," ",(MAX(Z12:Z42))))</f>
        <v>11</v>
      </c>
      <c r="AA45" s="163">
        <f>(IF((SUM(AA12:AA42))=0," ",(MAX(AA12:AA42))))</f>
        <v>11</v>
      </c>
      <c r="AC45" s="222">
        <f>(IF((SUM(AC12:AC42))=0," ",(MAX(AC12:AC42))))</f>
        <v>12</v>
      </c>
      <c r="AD45" s="184">
        <f>(IF((SUM(AD12:AD42))=0," ",(MAX(AD12:AD42))))</f>
        <v>0.3</v>
      </c>
      <c r="AE45" s="219">
        <f>(IF((COUNT(AE12:AE42))=0," ",(MAX(AE12:AE42))))</f>
        <v>0</v>
      </c>
      <c r="AG45" s="26" t="str">
        <f>($A45)</f>
        <v>Maximum</v>
      </c>
      <c r="AI45" s="162">
        <f aca="true" t="shared" si="10" ref="AI45:AO45">(IF((SUM(AI12:AI42))=0," ",(MAX(AI12:AI42))))</f>
        <v>308</v>
      </c>
      <c r="AJ45" s="162">
        <f t="shared" si="10"/>
        <v>5327.525279999999</v>
      </c>
      <c r="AK45" s="218">
        <f t="shared" si="10"/>
        <v>179</v>
      </c>
      <c r="AL45" s="163">
        <f t="shared" si="10"/>
        <v>3261.8991</v>
      </c>
      <c r="AM45" s="218">
        <f t="shared" si="10"/>
        <v>22</v>
      </c>
      <c r="AN45" s="163">
        <f t="shared" si="10"/>
        <v>380.53752</v>
      </c>
      <c r="AO45" s="224">
        <f t="shared" si="10"/>
        <v>15</v>
      </c>
      <c r="AQ45" s="218">
        <f aca="true" t="shared" si="11" ref="AQ45:AV45">(IF((SUM(AQ12:AQ42))=0," ",(MAX(AQ12:AQ42))))</f>
        <v>282</v>
      </c>
      <c r="AR45" s="163">
        <f t="shared" si="11"/>
        <v>5395.21272</v>
      </c>
      <c r="AS45" s="218">
        <f t="shared" si="11"/>
        <v>81</v>
      </c>
      <c r="AT45" s="163">
        <f t="shared" si="11"/>
        <v>1476.0549</v>
      </c>
      <c r="AU45" s="218">
        <f t="shared" si="11"/>
        <v>26</v>
      </c>
      <c r="AV45" s="163">
        <f t="shared" si="11"/>
        <v>455.5725</v>
      </c>
      <c r="AX45" s="221" t="s">
        <v>150</v>
      </c>
      <c r="AY45" s="183">
        <f>(IF((SUM(AY12:AY42))=0," ",(MAX(AY12:AY42))))</f>
        <v>3</v>
      </c>
      <c r="AZ45" s="225" t="s">
        <v>150</v>
      </c>
      <c r="BA45" s="221" t="s">
        <v>150</v>
      </c>
      <c r="BB45" s="223">
        <f>(IF((SUM(BB12:BB42))=0," ",(MAX(BB12:BB42))))</f>
        <v>29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6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9" t="s">
        <v>150</v>
      </c>
      <c r="D46" s="228">
        <f aca="true" t="shared" si="12" ref="D46:I46">(IF((SUM(D12:D42))=0," ",(MIN(D12:D42))))</f>
        <v>2.059</v>
      </c>
      <c r="E46" s="227">
        <f t="shared" si="12"/>
        <v>3.4</v>
      </c>
      <c r="F46" s="228">
        <f t="shared" si="12"/>
        <v>0.6</v>
      </c>
      <c r="G46" s="227">
        <f>(MIN(G12:G42))</f>
        <v>0</v>
      </c>
      <c r="H46" s="189">
        <f t="shared" si="12"/>
        <v>0</v>
      </c>
      <c r="I46" s="196">
        <f t="shared" si="12"/>
        <v>0</v>
      </c>
      <c r="K46" s="200" t="s">
        <v>150</v>
      </c>
      <c r="L46" s="192">
        <f>(IF((SUM(L12:L42))=0," ",(MIN(L12:L42))))</f>
        <v>0</v>
      </c>
      <c r="M46" s="202">
        <f>(IF((SUM(M12:M42))=0," ",(MIN(M12:M42))))</f>
        <v>0</v>
      </c>
      <c r="O46" s="229" t="s">
        <v>150</v>
      </c>
      <c r="Q46" s="208" t="s">
        <v>150</v>
      </c>
      <c r="R46" s="204" t="str">
        <f>(IF(((SUM(R12:R42))=0),"-",(MIN(R12:R42))))</f>
        <v>-</v>
      </c>
      <c r="S46" s="205" t="str">
        <f>(IF(((SUM(S12:S42))=0),"-",(MIN(S12:S42))))</f>
        <v>-</v>
      </c>
      <c r="U46" s="230">
        <f>(IF((SUM(U12:U42))=0," ",(MIN(U12:U42))))</f>
        <v>6.8</v>
      </c>
      <c r="V46" s="192">
        <f>(IF((SUM(V12:V42))=0," ",(MIN(V12:V42))))</f>
        <v>7</v>
      </c>
      <c r="W46" s="212">
        <f>(IF((SUM(W12:W42))=0," ",(MIN(W12:W42))))</f>
        <v>6.1</v>
      </c>
      <c r="Y46" s="199">
        <f aca="true" t="shared" si="13" ref="Y46:AD46">(IF((SUM(Y12:Y42))=0," ",(MIN(Y12:Y42))))</f>
        <v>11</v>
      </c>
      <c r="Z46" s="189">
        <f t="shared" si="13"/>
        <v>9</v>
      </c>
      <c r="AA46" s="196">
        <f t="shared" si="13"/>
        <v>8</v>
      </c>
      <c r="AB46" t="str">
        <f t="shared" si="13"/>
        <v> </v>
      </c>
      <c r="AC46" s="230">
        <f t="shared" si="13"/>
        <v>1.5</v>
      </c>
      <c r="AD46" s="191">
        <f t="shared" si="13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4" ref="AI46:AO46">(IF((SUM(AI12:AI42))=0," ",(MIN(AI12:AI42))))</f>
        <v>143</v>
      </c>
      <c r="AJ46" s="189">
        <f t="shared" si="14"/>
        <v>2983.9352399999993</v>
      </c>
      <c r="AK46" s="199">
        <f t="shared" si="14"/>
        <v>161</v>
      </c>
      <c r="AL46" s="196">
        <f t="shared" si="14"/>
        <v>2908.37484</v>
      </c>
      <c r="AM46" s="199">
        <f t="shared" si="14"/>
        <v>13</v>
      </c>
      <c r="AN46" s="196">
        <f t="shared" si="14"/>
        <v>239.93346000000003</v>
      </c>
      <c r="AO46" s="231">
        <f t="shared" si="14"/>
        <v>9</v>
      </c>
      <c r="AQ46" s="199">
        <f aca="true" t="shared" si="15" ref="AQ46:AV46">(IF((SUM(AQ12:AQ42))=0," ",(MIN(AQ12:AQ42))))</f>
        <v>147</v>
      </c>
      <c r="AR46" s="196">
        <f t="shared" si="15"/>
        <v>3067.4019599999997</v>
      </c>
      <c r="AS46" s="199">
        <f t="shared" si="15"/>
        <v>30</v>
      </c>
      <c r="AT46" s="196">
        <f t="shared" si="15"/>
        <v>573.9588</v>
      </c>
      <c r="AU46" s="199">
        <f t="shared" si="15"/>
        <v>13</v>
      </c>
      <c r="AV46" s="196">
        <f t="shared" si="15"/>
        <v>234.83772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32" t="s">
        <v>150</v>
      </c>
      <c r="BH46" s="214" t="s">
        <v>150</v>
      </c>
      <c r="BI46" s="215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9" t="s">
        <v>150</v>
      </c>
      <c r="D47" s="217">
        <f aca="true" t="shared" si="16" ref="D47:I47">(IF((SUM(D12:D42))=0," ",(AVERAGE(D12:D42))))</f>
        <v>2.1717741935483867</v>
      </c>
      <c r="E47" s="216">
        <f t="shared" si="16"/>
        <v>3.7225806451612895</v>
      </c>
      <c r="F47" s="217">
        <f t="shared" si="16"/>
        <v>0.6290322580645161</v>
      </c>
      <c r="G47" s="216" t="str">
        <f>(IF((SUM(G12:G42))=0,"0.000",(AVERAGE(G12:G42))))</f>
        <v>0.000</v>
      </c>
      <c r="H47" s="162">
        <f t="shared" si="16"/>
        <v>603.2258064516129</v>
      </c>
      <c r="I47" s="163">
        <f t="shared" si="16"/>
        <v>1104.8387096774193</v>
      </c>
      <c r="K47" s="180" t="s">
        <v>150</v>
      </c>
      <c r="L47" s="183">
        <f>(IF((SUM(L12:L42))=0," ",(AVERAGE(L12:L42))))</f>
        <v>16.35483870967742</v>
      </c>
      <c r="M47" s="219">
        <f>(IF((SUM(M12:M42))=0," ",(AVERAGE(M12:M42))))</f>
        <v>0.008064516129032258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7.13548387096774</v>
      </c>
      <c r="V47" s="183">
        <f>(IF((SUM(V12:V42))=0," ",(AVERAGE(V12:V42))))</f>
        <v>7.090322580645158</v>
      </c>
      <c r="W47" s="223">
        <f>(IF((SUM(W12:W42))=0," ",(AVERAGE(W12:W42))))</f>
        <v>6.467741935483872</v>
      </c>
      <c r="Y47" s="218">
        <f>(IF((SUM(Y12:Y42))=0," ",(AVERAGE(Y12:Y42))))</f>
        <v>11.838709677419354</v>
      </c>
      <c r="Z47" s="162">
        <f>(IF((SUM(Z12:Z42))=0," ",(AVERAGE(Z12:Z42))))</f>
        <v>10.451612903225806</v>
      </c>
      <c r="AA47" s="163">
        <f>(IF((SUM(AA12:AA42))=0," ",(AVERAGE(AA12:AA42))))</f>
        <v>9.903225806451612</v>
      </c>
      <c r="AC47" s="222">
        <f>(IF((SUM(AC12:AC42))=0," ",(AVERAGE(AC12:AC42))))</f>
        <v>5.661290322580645</v>
      </c>
      <c r="AD47" s="184">
        <f>(IF((SUM(AD12:AD42))=0," ",(AVERAGE(AD12:AD42))))</f>
        <v>0.013870967741935481</v>
      </c>
      <c r="AE47" s="219">
        <f>(IF((COUNT(AE12:AE42))=0," ",(AVERAGE(AE12:AE42))))</f>
        <v>0</v>
      </c>
      <c r="AG47" s="26" t="str">
        <f>($A47)</f>
        <v>Average</v>
      </c>
      <c r="AI47" s="162">
        <f aca="true" t="shared" si="17" ref="AI47:AO47">(IF((SUM(AI12:AI42))=0," ",(AVERAGE(AI12:AI42))))</f>
        <v>243.42857142857142</v>
      </c>
      <c r="AJ47" s="162">
        <f t="shared" si="17"/>
        <v>4416.657287142857</v>
      </c>
      <c r="AK47" s="218">
        <f t="shared" si="17"/>
        <v>169.6</v>
      </c>
      <c r="AL47" s="163">
        <f t="shared" si="17"/>
        <v>3083.313012</v>
      </c>
      <c r="AM47" s="218">
        <f t="shared" si="17"/>
        <v>16.714285714285715</v>
      </c>
      <c r="AN47" s="163">
        <f t="shared" si="17"/>
        <v>304.3027714285714</v>
      </c>
      <c r="AO47" s="224">
        <f t="shared" si="17"/>
        <v>12</v>
      </c>
      <c r="AQ47" s="218">
        <f aca="true" t="shared" si="18" ref="AQ47:AV47">(IF((SUM(AQ12:AQ42))=0," ",(AVERAGE(AQ12:AQ42))))</f>
        <v>224.07142857142858</v>
      </c>
      <c r="AR47" s="163">
        <f t="shared" si="18"/>
        <v>4072.691262857142</v>
      </c>
      <c r="AS47" s="218">
        <f t="shared" si="18"/>
        <v>60.4</v>
      </c>
      <c r="AT47" s="163">
        <f t="shared" si="18"/>
        <v>1090.134744</v>
      </c>
      <c r="AU47" s="218">
        <f t="shared" si="18"/>
        <v>20.428571428571427</v>
      </c>
      <c r="AV47" s="163">
        <f t="shared" si="18"/>
        <v>371.18659285714284</v>
      </c>
      <c r="AX47" s="218">
        <f aca="true" t="shared" si="19" ref="AX47:BE47">(IF((SUM(AX12:AX42))=0," ",(AVERAGE(AX12:AX42))))</f>
        <v>58124.125</v>
      </c>
      <c r="AY47" s="183">
        <f t="shared" si="19"/>
        <v>2.75</v>
      </c>
      <c r="AZ47" s="223">
        <f t="shared" si="19"/>
        <v>3.34375</v>
      </c>
      <c r="BA47" s="218">
        <f t="shared" si="19"/>
        <v>30.6</v>
      </c>
      <c r="BB47" s="223">
        <f t="shared" si="19"/>
        <v>27.375</v>
      </c>
      <c r="BC47" s="218">
        <f t="shared" si="19"/>
        <v>18.75</v>
      </c>
      <c r="BD47" s="162" t="str">
        <f t="shared" si="19"/>
        <v> </v>
      </c>
      <c r="BE47" s="219" t="str">
        <f t="shared" si="19"/>
        <v> </v>
      </c>
      <c r="BG47" s="133">
        <f>(IF((SUM(BG12:BG42))=0," ",(AVERAGE(BG12:BG42))))</f>
        <v>18.75</v>
      </c>
      <c r="BH47" s="181" t="s">
        <v>150</v>
      </c>
      <c r="BI47" s="182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42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93.11011129809835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90.88300924450112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4"/>
      <c r="C52" s="4"/>
      <c r="D52" s="4"/>
      <c r="E52" s="4"/>
      <c r="F52" s="4"/>
      <c r="G52" s="4"/>
      <c r="H52" s="4"/>
      <c r="I52" s="4"/>
      <c r="K52" s="4"/>
      <c r="L52" s="4"/>
      <c r="M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I52" s="4"/>
      <c r="AJ52" s="4"/>
      <c r="AK52" s="4"/>
      <c r="AL52" s="4"/>
      <c r="AM52" s="4"/>
      <c r="AN52" s="4"/>
      <c r="AO52" s="4"/>
      <c r="AQ52" s="4"/>
      <c r="AR52" s="4"/>
      <c r="AS52" s="4"/>
      <c r="AT52" s="4"/>
      <c r="AU52" s="4"/>
      <c r="AV52" s="4"/>
      <c r="AX52" s="4"/>
      <c r="AY52" s="4"/>
      <c r="AZ52" s="4"/>
      <c r="BA52" s="4"/>
      <c r="BB52" s="4"/>
      <c r="BC52" s="4"/>
      <c r="BD52" s="4"/>
      <c r="BE52" s="4"/>
      <c r="BG52" s="4"/>
      <c r="BH52" s="4"/>
      <c r="BI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P52" s="4"/>
    </row>
    <row r="53" spans="1:94" ht="18" customHeight="1">
      <c r="A53" s="4"/>
      <c r="C53" s="4"/>
      <c r="D53" s="4"/>
      <c r="E53" s="4"/>
      <c r="F53" s="4"/>
      <c r="G53" s="4"/>
      <c r="H53" s="4"/>
      <c r="I53" s="4"/>
      <c r="K53" s="4"/>
      <c r="L53" s="4"/>
      <c r="M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I53" s="4"/>
      <c r="AJ53" s="4"/>
      <c r="AK53" s="4"/>
      <c r="AL53" s="4"/>
      <c r="AM53" s="4"/>
      <c r="AN53" s="4"/>
      <c r="AO53" s="4"/>
      <c r="AQ53" s="4"/>
      <c r="AR53" s="4"/>
      <c r="AS53" s="4"/>
      <c r="AT53" s="4"/>
      <c r="AU53" s="4"/>
      <c r="AV53" s="4"/>
      <c r="AX53" s="4"/>
      <c r="AY53" s="4"/>
      <c r="AZ53" s="4"/>
      <c r="BA53" s="4"/>
      <c r="BB53" s="4"/>
      <c r="BC53" s="4"/>
      <c r="BD53" s="4"/>
      <c r="BE53" s="4"/>
      <c r="BG53" s="4"/>
      <c r="BH53" s="4"/>
      <c r="BI53" s="4"/>
      <c r="BK53" s="4"/>
      <c r="BL53" s="4"/>
      <c r="BN53" s="4"/>
      <c r="BP53" s="4"/>
      <c r="BT53" s="4"/>
      <c r="BY53" s="4"/>
      <c r="CC53" s="4"/>
      <c r="CP53" s="4"/>
    </row>
    <row r="54" spans="1:94" ht="18" customHeight="1">
      <c r="A54" s="4"/>
      <c r="C54" s="4"/>
      <c r="D54" s="4"/>
      <c r="E54" s="4"/>
      <c r="F54" s="4"/>
      <c r="G54" s="4"/>
      <c r="H54" s="4"/>
      <c r="I54" s="4"/>
      <c r="K54" s="4"/>
      <c r="L54" s="4"/>
      <c r="M54" s="4"/>
      <c r="O54" s="4"/>
      <c r="Q54" s="4"/>
      <c r="R54" s="4"/>
      <c r="S54" s="4"/>
      <c r="U54" s="4"/>
      <c r="V54" s="4"/>
      <c r="W54" s="4"/>
      <c r="Y54" s="4"/>
      <c r="Z54" s="4"/>
      <c r="AA54" s="4"/>
      <c r="AC54" s="4"/>
      <c r="AD54" s="4"/>
      <c r="AE54" s="4"/>
      <c r="AG54" s="4"/>
      <c r="AI54" s="4"/>
      <c r="AJ54" s="4"/>
      <c r="AK54" s="4"/>
      <c r="AL54" s="4"/>
      <c r="AM54" s="4"/>
      <c r="AN54" s="4"/>
      <c r="AO54" s="4"/>
      <c r="AQ54" s="4"/>
      <c r="AR54" s="4"/>
      <c r="AS54" s="4"/>
      <c r="AT54" s="4"/>
      <c r="AU54" s="4"/>
      <c r="AV54" s="4"/>
      <c r="AX54" s="4"/>
      <c r="AY54" s="4"/>
      <c r="AZ54" s="4"/>
      <c r="BA54" s="4"/>
      <c r="BB54" s="4"/>
      <c r="BC54" s="4"/>
      <c r="BD54" s="4"/>
      <c r="BE54" s="4"/>
      <c r="BG54" s="4"/>
      <c r="BH54" s="4"/>
      <c r="BI54" s="4"/>
      <c r="BK54" s="4"/>
      <c r="BL54" s="4"/>
      <c r="BN54" s="4"/>
      <c r="BP54" s="4"/>
      <c r="BT54" s="4"/>
      <c r="BY54" s="4"/>
      <c r="CC54" s="4"/>
      <c r="CP54" s="4"/>
    </row>
    <row r="55" spans="1:94" ht="18" customHeight="1">
      <c r="A55" s="3"/>
      <c r="C55" s="3"/>
      <c r="D55" s="3"/>
      <c r="E55" s="3"/>
      <c r="F55" s="3"/>
      <c r="G55" s="3"/>
      <c r="H55" s="3"/>
      <c r="I55" s="3"/>
      <c r="K55" s="3"/>
      <c r="L55" s="3"/>
      <c r="M55" s="3"/>
      <c r="O55" s="3"/>
      <c r="Q55" s="3"/>
      <c r="R55" s="3"/>
      <c r="S55" s="3"/>
      <c r="U55" s="3"/>
      <c r="V55" s="3"/>
      <c r="W55" s="3"/>
      <c r="Y55" s="3"/>
      <c r="Z55" s="3"/>
      <c r="AA55" s="3"/>
      <c r="AC55" s="3"/>
      <c r="AD55" s="3"/>
      <c r="AE55" s="3"/>
      <c r="AG55" s="4"/>
      <c r="AI55" s="4"/>
      <c r="AJ55" s="4"/>
      <c r="AK55" s="4"/>
      <c r="AL55" s="4"/>
      <c r="AM55" s="4"/>
      <c r="AN55" s="4"/>
      <c r="AO55" s="4"/>
      <c r="AQ55" s="4"/>
      <c r="AR55" s="4"/>
      <c r="AS55" s="4"/>
      <c r="AT55" s="4"/>
      <c r="AU55" s="4"/>
      <c r="AV55" s="4"/>
      <c r="AX55" s="4"/>
      <c r="AY55" s="4"/>
      <c r="AZ55" s="4"/>
      <c r="BA55" s="4"/>
      <c r="BB55" s="4"/>
      <c r="BC55" s="4"/>
      <c r="BD55" s="4"/>
      <c r="BE55" s="4"/>
      <c r="BG55" s="4"/>
      <c r="BH55" s="4"/>
      <c r="BI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P55" s="4"/>
    </row>
    <row r="56" spans="1:94" ht="18" customHeight="1">
      <c r="A56" s="3"/>
      <c r="C56" s="3"/>
      <c r="D56" s="3"/>
      <c r="E56" s="3"/>
      <c r="F56" s="3"/>
      <c r="G56" s="3"/>
      <c r="H56" s="3"/>
      <c r="I56" s="3"/>
      <c r="K56" s="3"/>
      <c r="L56" s="3"/>
      <c r="M56" s="3"/>
      <c r="O56" s="3"/>
      <c r="Q56" s="3"/>
      <c r="R56" s="3"/>
      <c r="S56" s="3"/>
      <c r="U56" s="3"/>
      <c r="V56" s="3"/>
      <c r="W56" s="3"/>
      <c r="Y56" s="3"/>
      <c r="Z56" s="3"/>
      <c r="AA56" s="3"/>
      <c r="AC56" s="3"/>
      <c r="AD56" s="3"/>
      <c r="AE56" s="3"/>
      <c r="AG56" s="4"/>
      <c r="AI56" s="4"/>
      <c r="AJ56" s="4"/>
      <c r="AK56" s="4"/>
      <c r="AL56" s="4"/>
      <c r="AM56" s="4"/>
      <c r="AN56" s="4"/>
      <c r="AO56" s="4"/>
      <c r="AQ56" s="4"/>
      <c r="AR56" s="4"/>
      <c r="AS56" s="4"/>
      <c r="AT56" s="4"/>
      <c r="AU56" s="4"/>
      <c r="AV56" s="4"/>
      <c r="AX56" s="4"/>
      <c r="AY56" s="4"/>
      <c r="AZ56" s="4"/>
      <c r="BA56" s="4"/>
      <c r="BB56" s="4"/>
      <c r="BC56" s="4"/>
      <c r="BD56" s="4"/>
      <c r="BE56" s="4"/>
      <c r="BG56" s="4"/>
      <c r="BH56" s="4"/>
      <c r="BI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P56" s="4"/>
    </row>
    <row r="57" spans="1:94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P57" s="4"/>
    </row>
    <row r="58" spans="1:94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P58" s="4"/>
    </row>
    <row r="59" spans="1:94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 password="CCAE" sheet="1" objects="1" scenarios="1"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verticalCentered="1"/>
  <pageMargins left="0.25" right="0.25" top="0.25" bottom="0.25" header="0.25" footer="0.25"/>
  <pageSetup fitToWidth="3" horizontalDpi="600" verticalDpi="600" orientation="landscape" scale="53" r:id="rId1"/>
  <colBreaks count="2" manualBreakCount="2">
    <brk id="32" max="50" man="1"/>
    <brk id="62" max="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198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October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October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1">
        <v>2154915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5">
        <v>2157169</v>
      </c>
      <c r="D12" s="138">
        <f aca="true" t="shared" si="0" ref="D12:D42">(IF(C12=0," ",((C12-C11)/1000)))</f>
        <v>2.254</v>
      </c>
      <c r="E12" s="140">
        <v>3.6</v>
      </c>
      <c r="F12" s="141">
        <v>0.6</v>
      </c>
      <c r="G12" s="81" t="str">
        <f aca="true" t="shared" si="1" ref="G12:G42">(IF(C12=0," ","0.00"))</f>
        <v>0.00</v>
      </c>
      <c r="H12" s="85">
        <v>1750</v>
      </c>
      <c r="I12" s="86">
        <v>10000</v>
      </c>
      <c r="J12" s="11"/>
      <c r="K12" s="87" t="s">
        <v>210</v>
      </c>
      <c r="L12" s="85">
        <v>44</v>
      </c>
      <c r="M12" s="88">
        <v>0.01</v>
      </c>
      <c r="N12" s="11"/>
      <c r="O12" s="89"/>
      <c r="P12" s="11"/>
      <c r="Q12" s="90"/>
      <c r="R12" s="91"/>
      <c r="S12" s="92"/>
      <c r="T12" s="11"/>
      <c r="U12" s="93">
        <v>7.4</v>
      </c>
      <c r="V12" s="94">
        <v>7.2</v>
      </c>
      <c r="W12" s="95">
        <v>6.6</v>
      </c>
      <c r="X12" s="11"/>
      <c r="Y12" s="90">
        <v>18</v>
      </c>
      <c r="Z12" s="96">
        <v>18</v>
      </c>
      <c r="AA12" s="92">
        <v>18</v>
      </c>
      <c r="AB12" s="11"/>
      <c r="AC12" s="93">
        <v>18</v>
      </c>
      <c r="AD12" s="91">
        <v>0.01</v>
      </c>
      <c r="AE12" s="97">
        <v>0</v>
      </c>
      <c r="AF12" s="11"/>
      <c r="AG12" s="45">
        <f aca="true" t="shared" si="2" ref="AG12:AG42">($A12)</f>
        <v>1</v>
      </c>
      <c r="AH12" s="11"/>
      <c r="AI12" s="98">
        <v>289</v>
      </c>
      <c r="AJ12" s="55">
        <f aca="true" t="shared" si="3" ref="AJ12:AJ42">IF(AI12=0,"",(D12*AI12*8.34))</f>
        <v>5432.72604</v>
      </c>
      <c r="AK12" s="98"/>
      <c r="AL12" s="55">
        <f aca="true" t="shared" si="4" ref="AL12:AL42">IF(AK12=0,"",(D12*AK12*8.34))</f>
      </c>
      <c r="AM12" s="98">
        <v>14</v>
      </c>
      <c r="AN12" s="55">
        <f aca="true" t="shared" si="5" ref="AN12:AN42">IF(AM12=0,"",(D12*AM12*8.34))</f>
        <v>263.17704</v>
      </c>
      <c r="AO12" s="99">
        <v>8</v>
      </c>
      <c r="AP12" s="11"/>
      <c r="AQ12" s="100">
        <v>268</v>
      </c>
      <c r="AR12" s="55">
        <f aca="true" t="shared" si="6" ref="AR12:AR42">IF(AQ12=0,"",(D12*AQ12*8.34))</f>
        <v>5037.96048</v>
      </c>
      <c r="AS12" s="98"/>
      <c r="AT12" s="55">
        <f aca="true" t="shared" si="7" ref="AT12:AT42">IF(AS12=0,"",(D12*AS12*8.34))</f>
      </c>
      <c r="AU12" s="98">
        <v>26</v>
      </c>
      <c r="AV12" s="55">
        <f aca="true" t="shared" si="8" ref="AV12:AV42">IF(AU12=0,"",(D12*AU12*8.34))</f>
        <v>488.75736</v>
      </c>
      <c r="AW12" s="11"/>
      <c r="AX12" s="100"/>
      <c r="AY12" s="101"/>
      <c r="AZ12" s="102"/>
      <c r="BA12" s="98"/>
      <c r="BB12" s="102"/>
      <c r="BC12" s="98"/>
      <c r="BD12" s="98"/>
      <c r="BE12" s="103"/>
      <c r="BF12" s="11"/>
      <c r="BG12" s="100"/>
      <c r="BH12" s="84"/>
      <c r="BI12" s="104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6">
        <f>(IF(((SUM(AN12:AN42))=0)," ",(AVERAGE(AN12:AN42))))</f>
        <v>339.46969199999995</v>
      </c>
      <c r="BR12" s="186">
        <f>MAX(AN12:AN42)</f>
        <v>449.72616</v>
      </c>
      <c r="BS12" s="26" t="s">
        <v>126</v>
      </c>
      <c r="BT12" s="26"/>
      <c r="BU12" s="186">
        <f>(IF(((SUM(AM12:AM42))=0)," ",(AVERAGE(AM12:AM42))))</f>
        <v>15.6</v>
      </c>
      <c r="BV12" s="58">
        <f>(CG23)</f>
        <v>16.666666666666668</v>
      </c>
      <c r="BW12" s="186">
        <f>MAX(AM12:AM42)</f>
        <v>18</v>
      </c>
      <c r="BX12" s="26" t="s">
        <v>128</v>
      </c>
      <c r="BY12" s="26"/>
      <c r="BZ12" s="26">
        <v>0</v>
      </c>
      <c r="CA12" s="267" t="s">
        <v>47</v>
      </c>
      <c r="CB12" s="26">
        <v>24</v>
      </c>
      <c r="CC12" s="137"/>
      <c r="CE12" s="24"/>
      <c r="CF12" s="20" t="s">
        <v>138</v>
      </c>
      <c r="CG12" s="106">
        <f>(IF(((SUM(AM12:AM14))=0)," ",(AVERAGE(AM12:AM14))))</f>
        <v>15.333333333333334</v>
      </c>
      <c r="CH12" s="106">
        <f>(IF(((SUM(AN12:AN14))=0)," ",(AVERAGE(AN12:AN14))))</f>
        <v>285.0389599999999</v>
      </c>
      <c r="CI12" s="286"/>
      <c r="CJ12" s="106">
        <f>(IF(((SUM(AU12:AU14))=0)," ",(AVERAGE(AU12:AU14))))</f>
        <v>25.333333333333332</v>
      </c>
      <c r="CK12" s="106">
        <f>(IF(((SUM(AV12:AV14))=0)," ",(AVERAGE(AV12:AV14))))</f>
        <v>471.22112</v>
      </c>
      <c r="CL12" s="53"/>
      <c r="CM12" s="152">
        <v>0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5">
        <v>2159378</v>
      </c>
      <c r="D13" s="138">
        <f t="shared" si="0"/>
        <v>2.209</v>
      </c>
      <c r="E13" s="140">
        <v>3.7</v>
      </c>
      <c r="F13" s="141">
        <v>0.5</v>
      </c>
      <c r="G13" s="81" t="str">
        <f t="shared" si="1"/>
        <v>0.00</v>
      </c>
      <c r="H13" s="85">
        <v>3100</v>
      </c>
      <c r="I13" s="86">
        <v>10000</v>
      </c>
      <c r="J13" s="11"/>
      <c r="K13" s="87" t="s">
        <v>208</v>
      </c>
      <c r="L13" s="85">
        <v>63</v>
      </c>
      <c r="M13" s="88">
        <v>0.07</v>
      </c>
      <c r="N13" s="11"/>
      <c r="O13" s="107"/>
      <c r="P13" s="11"/>
      <c r="Q13" s="108"/>
      <c r="R13" s="153"/>
      <c r="S13" s="109"/>
      <c r="T13" s="11"/>
      <c r="U13" s="93">
        <v>7.3</v>
      </c>
      <c r="V13" s="94">
        <v>7.3</v>
      </c>
      <c r="W13" s="95">
        <v>6.5</v>
      </c>
      <c r="X13" s="11"/>
      <c r="Y13" s="90">
        <v>18</v>
      </c>
      <c r="Z13" s="96">
        <v>18</v>
      </c>
      <c r="AA13" s="92">
        <v>18</v>
      </c>
      <c r="AB13" s="11"/>
      <c r="AC13" s="93">
        <v>7</v>
      </c>
      <c r="AD13" s="91">
        <v>0.01</v>
      </c>
      <c r="AE13" s="97">
        <v>0</v>
      </c>
      <c r="AF13" s="11"/>
      <c r="AG13" s="45">
        <f t="shared" si="2"/>
        <v>2</v>
      </c>
      <c r="AH13" s="11"/>
      <c r="AI13" s="98">
        <v>332</v>
      </c>
      <c r="AJ13" s="55">
        <f t="shared" si="3"/>
        <v>6116.45592</v>
      </c>
      <c r="AK13" s="98"/>
      <c r="AL13" s="55">
        <f t="shared" si="4"/>
      </c>
      <c r="AM13" s="98">
        <v>16</v>
      </c>
      <c r="AN13" s="55">
        <f t="shared" si="5"/>
        <v>294.76896</v>
      </c>
      <c r="AO13" s="110">
        <v>10</v>
      </c>
      <c r="AP13" s="11"/>
      <c r="AQ13" s="100">
        <v>432</v>
      </c>
      <c r="AR13" s="55">
        <f t="shared" si="6"/>
        <v>7958.76192</v>
      </c>
      <c r="AS13" s="98"/>
      <c r="AT13" s="55">
        <f t="shared" si="7"/>
      </c>
      <c r="AU13" s="98">
        <v>25</v>
      </c>
      <c r="AV13" s="55">
        <f t="shared" si="8"/>
        <v>460.5765</v>
      </c>
      <c r="AW13" s="11"/>
      <c r="AX13" s="100">
        <v>36161</v>
      </c>
      <c r="AY13" s="101">
        <v>2</v>
      </c>
      <c r="AZ13" s="102">
        <v>2.3</v>
      </c>
      <c r="BA13" s="98">
        <v>25</v>
      </c>
      <c r="BB13" s="102">
        <v>28</v>
      </c>
      <c r="BC13" s="98">
        <v>12</v>
      </c>
      <c r="BD13" s="98"/>
      <c r="BE13" s="103"/>
      <c r="BF13" s="11"/>
      <c r="BG13" s="100">
        <v>12</v>
      </c>
      <c r="BH13" s="84" t="s">
        <v>212</v>
      </c>
      <c r="BI13" s="104" t="s">
        <v>211</v>
      </c>
      <c r="BJ13" s="11"/>
      <c r="BK13" s="17"/>
      <c r="BL13" s="19"/>
      <c r="BM13" s="26" t="s">
        <v>86</v>
      </c>
      <c r="BN13" s="20"/>
      <c r="BO13" s="154" t="s">
        <v>131</v>
      </c>
      <c r="BP13" s="26"/>
      <c r="BQ13" s="268">
        <v>963</v>
      </c>
      <c r="BR13" s="268">
        <v>1605</v>
      </c>
      <c r="BS13" s="155" t="s">
        <v>126</v>
      </c>
      <c r="BT13" s="26"/>
      <c r="BU13" s="268">
        <v>30</v>
      </c>
      <c r="BV13" s="269">
        <v>45</v>
      </c>
      <c r="BW13" s="268">
        <v>50</v>
      </c>
      <c r="BX13" s="155" t="s">
        <v>128</v>
      </c>
      <c r="BY13" s="26"/>
      <c r="BZ13" s="270" t="s">
        <v>150</v>
      </c>
      <c r="CA13" s="271" t="s">
        <v>47</v>
      </c>
      <c r="CB13" s="155">
        <v>24</v>
      </c>
      <c r="CC13" s="137"/>
      <c r="CE13" s="24"/>
      <c r="CF13" s="20"/>
      <c r="CG13" s="286"/>
      <c r="CH13" s="286"/>
      <c r="CI13" s="286"/>
      <c r="CJ13" s="286"/>
      <c r="CK13" s="286"/>
      <c r="CL13" s="53"/>
      <c r="CM13" s="287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5">
        <v>2161605</v>
      </c>
      <c r="D14" s="138">
        <f t="shared" si="0"/>
        <v>2.227</v>
      </c>
      <c r="E14" s="140">
        <v>3.7</v>
      </c>
      <c r="F14" s="141">
        <v>0.6</v>
      </c>
      <c r="G14" s="81" t="str">
        <f t="shared" si="1"/>
        <v>0.00</v>
      </c>
      <c r="H14" s="85">
        <v>0</v>
      </c>
      <c r="I14" s="86">
        <v>10000</v>
      </c>
      <c r="K14" s="87" t="s">
        <v>210</v>
      </c>
      <c r="L14" s="85">
        <v>57</v>
      </c>
      <c r="M14" s="88">
        <v>0.79</v>
      </c>
      <c r="O14" s="107"/>
      <c r="Q14" s="108" t="s">
        <v>10</v>
      </c>
      <c r="R14" s="153" t="s">
        <v>10</v>
      </c>
      <c r="S14" s="109" t="s">
        <v>10</v>
      </c>
      <c r="U14" s="93">
        <v>7.5</v>
      </c>
      <c r="V14" s="94">
        <v>7</v>
      </c>
      <c r="W14" s="95">
        <v>6.8</v>
      </c>
      <c r="Y14" s="90">
        <v>18</v>
      </c>
      <c r="Z14" s="96">
        <v>17</v>
      </c>
      <c r="AA14" s="92">
        <v>18</v>
      </c>
      <c r="AC14" s="93">
        <v>21</v>
      </c>
      <c r="AD14" s="91">
        <v>0.1</v>
      </c>
      <c r="AE14" s="97">
        <v>0</v>
      </c>
      <c r="AG14" s="45">
        <f t="shared" si="2"/>
        <v>3</v>
      </c>
      <c r="AI14" s="98">
        <v>360</v>
      </c>
      <c r="AJ14" s="55">
        <f t="shared" si="3"/>
        <v>6686.344799999999</v>
      </c>
      <c r="AK14" s="98">
        <v>205</v>
      </c>
      <c r="AL14" s="55">
        <f t="shared" si="4"/>
        <v>3807.5018999999998</v>
      </c>
      <c r="AM14" s="98">
        <v>16</v>
      </c>
      <c r="AN14" s="55">
        <f t="shared" si="5"/>
        <v>297.17087999999995</v>
      </c>
      <c r="AO14" s="110">
        <v>10</v>
      </c>
      <c r="AQ14" s="100">
        <v>330</v>
      </c>
      <c r="AR14" s="55">
        <f t="shared" si="6"/>
        <v>6129.149399999999</v>
      </c>
      <c r="AS14" s="98">
        <v>106</v>
      </c>
      <c r="AT14" s="55">
        <f t="shared" si="7"/>
        <v>1968.7570799999999</v>
      </c>
      <c r="AU14" s="98">
        <v>25</v>
      </c>
      <c r="AV14" s="55">
        <f t="shared" si="8"/>
        <v>464.3295</v>
      </c>
      <c r="AX14" s="100">
        <v>36441</v>
      </c>
      <c r="AY14" s="101">
        <v>2</v>
      </c>
      <c r="AZ14" s="102">
        <v>2</v>
      </c>
      <c r="BA14" s="98">
        <v>21.7</v>
      </c>
      <c r="BB14" s="102">
        <v>28</v>
      </c>
      <c r="BC14" s="98">
        <v>12</v>
      </c>
      <c r="BD14" s="98"/>
      <c r="BE14" s="103"/>
      <c r="BG14" s="100">
        <v>12</v>
      </c>
      <c r="BH14" s="84" t="s">
        <v>212</v>
      </c>
      <c r="BI14" s="104" t="s">
        <v>211</v>
      </c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(IF(((SUM(AM19:AM21))=0)," ",(AVERAGE(AM19:AM21))))</f>
        <v>16.666666666666668</v>
      </c>
      <c r="CH14" s="106">
        <f>(IF(((SUM(AN19:AN21))=0)," ",(AVERAGE(AN19:AN21))))</f>
        <v>319.13566</v>
      </c>
      <c r="CI14" s="286"/>
      <c r="CJ14" s="106">
        <f>(IF(((SUM(AU19:AU21))=0)," ",(AVERAGE(AU19:AU21))))</f>
        <v>25.666666666666668</v>
      </c>
      <c r="CK14" s="106">
        <f>(IF(((SUM(AV19:AV21))=0)," ",(AVERAGE(AV19:AV21))))</f>
        <v>489.55243999999993</v>
      </c>
      <c r="CL14" s="53"/>
      <c r="CM14" s="152">
        <f>(AVERAGE(AE16:AE22))</f>
        <v>0.004285714285714286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5">
        <v>2163799</v>
      </c>
      <c r="D15" s="138">
        <f t="shared" si="0"/>
        <v>2.194</v>
      </c>
      <c r="E15" s="140">
        <v>4.2</v>
      </c>
      <c r="F15" s="141">
        <v>0.6</v>
      </c>
      <c r="G15" s="81" t="str">
        <f t="shared" si="1"/>
        <v>0.00</v>
      </c>
      <c r="H15" s="85">
        <v>2200</v>
      </c>
      <c r="I15" s="86">
        <v>6000</v>
      </c>
      <c r="K15" s="87" t="s">
        <v>208</v>
      </c>
      <c r="L15" s="85">
        <v>36</v>
      </c>
      <c r="M15" s="88">
        <v>0.64</v>
      </c>
      <c r="O15" s="107"/>
      <c r="Q15" s="108"/>
      <c r="R15" s="153"/>
      <c r="S15" s="109"/>
      <c r="U15" s="93">
        <v>7.2</v>
      </c>
      <c r="V15" s="94">
        <v>7.1</v>
      </c>
      <c r="W15" s="95">
        <v>6.9</v>
      </c>
      <c r="Y15" s="90">
        <v>17</v>
      </c>
      <c r="Z15" s="96">
        <v>17</v>
      </c>
      <c r="AA15" s="92">
        <v>18</v>
      </c>
      <c r="AC15" s="93">
        <v>4.5</v>
      </c>
      <c r="AD15" s="91">
        <v>0.1</v>
      </c>
      <c r="AE15" s="97">
        <v>0.01</v>
      </c>
      <c r="AG15" s="45">
        <f t="shared" si="2"/>
        <v>4</v>
      </c>
      <c r="AI15" s="98"/>
      <c r="AJ15" s="55">
        <f t="shared" si="3"/>
      </c>
      <c r="AK15" s="98"/>
      <c r="AL15" s="55">
        <f t="shared" si="4"/>
      </c>
      <c r="AM15" s="98"/>
      <c r="AN15" s="55">
        <f t="shared" si="5"/>
      </c>
      <c r="AO15" s="110"/>
      <c r="AQ15" s="100"/>
      <c r="AR15" s="55">
        <f t="shared" si="6"/>
      </c>
      <c r="AS15" s="98"/>
      <c r="AT15" s="55">
        <f t="shared" si="7"/>
      </c>
      <c r="AU15" s="98"/>
      <c r="AV15" s="55">
        <f t="shared" si="8"/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286"/>
      <c r="CH15" s="286"/>
      <c r="CI15" s="286"/>
      <c r="CJ15" s="286"/>
      <c r="CK15" s="286"/>
      <c r="CL15" s="53"/>
      <c r="CM15" s="287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3">
        <v>2166182</v>
      </c>
      <c r="D16" s="139">
        <f t="shared" si="0"/>
        <v>2.383</v>
      </c>
      <c r="E16" s="142">
        <v>3.8</v>
      </c>
      <c r="F16" s="143">
        <v>0.6</v>
      </c>
      <c r="G16" s="184" t="str">
        <f t="shared" si="1"/>
        <v>0.00</v>
      </c>
      <c r="H16" s="113">
        <v>0</v>
      </c>
      <c r="I16" s="114">
        <v>0</v>
      </c>
      <c r="K16" s="115" t="s">
        <v>210</v>
      </c>
      <c r="L16" s="113">
        <v>39</v>
      </c>
      <c r="M16" s="116">
        <v>0</v>
      </c>
      <c r="O16" s="117"/>
      <c r="Q16" s="108" t="s">
        <v>4</v>
      </c>
      <c r="R16" s="153" t="s">
        <v>4</v>
      </c>
      <c r="S16" s="109" t="s">
        <v>4</v>
      </c>
      <c r="U16" s="118">
        <v>7</v>
      </c>
      <c r="V16" s="119">
        <v>7</v>
      </c>
      <c r="W16" s="120">
        <v>6.9</v>
      </c>
      <c r="Y16" s="121">
        <v>18</v>
      </c>
      <c r="Z16" s="122">
        <v>17</v>
      </c>
      <c r="AA16" s="123">
        <v>17</v>
      </c>
      <c r="AC16" s="118">
        <v>4.5</v>
      </c>
      <c r="AD16" s="124">
        <v>0.01</v>
      </c>
      <c r="AE16" s="125">
        <v>0</v>
      </c>
      <c r="AG16" s="45">
        <f t="shared" si="2"/>
        <v>5</v>
      </c>
      <c r="AI16" s="126"/>
      <c r="AJ16" s="65">
        <f t="shared" si="3"/>
      </c>
      <c r="AK16" s="126"/>
      <c r="AL16" s="65">
        <f t="shared" si="4"/>
      </c>
      <c r="AM16" s="126"/>
      <c r="AN16" s="65">
        <f t="shared" si="5"/>
      </c>
      <c r="AO16" s="127"/>
      <c r="AQ16" s="128"/>
      <c r="AR16" s="65">
        <f t="shared" si="6"/>
      </c>
      <c r="AS16" s="126"/>
      <c r="AT16" s="65">
        <f t="shared" si="7"/>
      </c>
      <c r="AU16" s="126"/>
      <c r="AV16" s="65">
        <f t="shared" si="8"/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(IF(((SUM(AM26:AM28))=0)," ",(AVERAGE(AM26:AM28))))</f>
        <v>16.666666666666668</v>
      </c>
      <c r="CH16" s="106">
        <f>(IF(((SUM(AN26:AN28))=0)," ",(AVERAGE(AN26:AN28))))</f>
        <v>381.1102</v>
      </c>
      <c r="CI16" s="286"/>
      <c r="CJ16" s="106">
        <f>(IF(((SUM(AU26:AU28))=0)," ",(AVERAGE(AU26:AU28))))</f>
        <v>21</v>
      </c>
      <c r="CK16" s="106">
        <f>(IF(((SUM(AV26:AV28))=0)," ",(AVERAGE(AV26:AV28))))</f>
        <v>479.88638</v>
      </c>
      <c r="CL16" s="53"/>
      <c r="CM16" s="152">
        <f>(AVERAGE(AE23:AE29))</f>
        <v>0.002857142857142857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5">
        <v>2168424</v>
      </c>
      <c r="D17" s="138">
        <f t="shared" si="0"/>
        <v>2.242</v>
      </c>
      <c r="E17" s="140">
        <v>3.9</v>
      </c>
      <c r="F17" s="141">
        <v>0.6</v>
      </c>
      <c r="G17" s="81" t="str">
        <f t="shared" si="1"/>
        <v>0.00</v>
      </c>
      <c r="H17" s="85">
        <v>1500</v>
      </c>
      <c r="I17" s="86">
        <v>10000</v>
      </c>
      <c r="K17" s="87" t="s">
        <v>210</v>
      </c>
      <c r="L17" s="85">
        <v>44</v>
      </c>
      <c r="M17" s="88">
        <v>0.01</v>
      </c>
      <c r="O17" s="107"/>
      <c r="Q17" s="108"/>
      <c r="R17" s="153"/>
      <c r="S17" s="109"/>
      <c r="U17" s="93">
        <v>7.2</v>
      </c>
      <c r="V17" s="94">
        <v>6.2</v>
      </c>
      <c r="W17" s="95">
        <v>6.9</v>
      </c>
      <c r="Y17" s="90">
        <v>17</v>
      </c>
      <c r="Z17" s="96">
        <v>17</v>
      </c>
      <c r="AA17" s="92">
        <v>17</v>
      </c>
      <c r="AC17" s="93">
        <v>7.5</v>
      </c>
      <c r="AD17" s="91">
        <v>0.3</v>
      </c>
      <c r="AE17" s="97">
        <v>0.01</v>
      </c>
      <c r="AG17" s="45">
        <f t="shared" si="2"/>
        <v>6</v>
      </c>
      <c r="AI17" s="98"/>
      <c r="AJ17" s="55">
        <f t="shared" si="3"/>
      </c>
      <c r="AK17" s="98"/>
      <c r="AL17" s="55">
        <f t="shared" si="4"/>
      </c>
      <c r="AM17" s="98"/>
      <c r="AN17" s="55">
        <f t="shared" si="5"/>
      </c>
      <c r="AO17" s="110"/>
      <c r="AQ17" s="100"/>
      <c r="AR17" s="55">
        <f t="shared" si="6"/>
      </c>
      <c r="AS17" s="98"/>
      <c r="AT17" s="55">
        <f t="shared" si="7"/>
      </c>
      <c r="AU17" s="98"/>
      <c r="AV17" s="55">
        <f t="shared" si="8"/>
      </c>
      <c r="AX17" s="100">
        <v>55030</v>
      </c>
      <c r="AY17" s="101">
        <v>3</v>
      </c>
      <c r="AZ17" s="102">
        <v>4</v>
      </c>
      <c r="BA17" s="98">
        <v>43.4</v>
      </c>
      <c r="BB17" s="102">
        <v>28</v>
      </c>
      <c r="BC17" s="98">
        <v>24</v>
      </c>
      <c r="BD17" s="98"/>
      <c r="BE17" s="103"/>
      <c r="BG17" s="100">
        <v>24</v>
      </c>
      <c r="BH17" s="84" t="s">
        <v>212</v>
      </c>
      <c r="BI17" s="104" t="s">
        <v>211</v>
      </c>
      <c r="BK17" s="17"/>
      <c r="BL17" s="19"/>
      <c r="BM17" s="56" t="s">
        <v>111</v>
      </c>
      <c r="BN17" s="20"/>
      <c r="BO17" s="57" t="s">
        <v>130</v>
      </c>
      <c r="BP17" s="26"/>
      <c r="BQ17" s="272" t="s">
        <v>150</v>
      </c>
      <c r="BR17" s="272" t="s">
        <v>150</v>
      </c>
      <c r="BS17" s="272" t="s">
        <v>150</v>
      </c>
      <c r="BT17" s="26"/>
      <c r="BU17" s="68">
        <f>MIN(W12:W42)</f>
        <v>6.3</v>
      </c>
      <c r="BV17" s="272" t="s">
        <v>150</v>
      </c>
      <c r="BW17" s="68">
        <f>MAX(W12:W42)</f>
        <v>7.1</v>
      </c>
      <c r="BX17" s="26" t="s">
        <v>43</v>
      </c>
      <c r="BY17" s="26"/>
      <c r="BZ17" s="26">
        <v>0</v>
      </c>
      <c r="CA17" s="267" t="s">
        <v>48</v>
      </c>
      <c r="CB17" s="26" t="s">
        <v>23</v>
      </c>
      <c r="CC17" s="137"/>
      <c r="CE17" s="69"/>
      <c r="CF17" s="20"/>
      <c r="CG17" s="286"/>
      <c r="CH17" s="286"/>
      <c r="CI17" s="286"/>
      <c r="CJ17" s="286"/>
      <c r="CK17" s="286"/>
      <c r="CL17" s="20"/>
      <c r="CM17" s="287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5">
        <v>2170730</v>
      </c>
      <c r="D18" s="138">
        <f t="shared" si="0"/>
        <v>2.306</v>
      </c>
      <c r="E18" s="140">
        <v>3.9</v>
      </c>
      <c r="F18" s="141">
        <v>0.5</v>
      </c>
      <c r="G18" s="81" t="str">
        <f t="shared" si="1"/>
        <v>0.00</v>
      </c>
      <c r="H18" s="85">
        <v>1000</v>
      </c>
      <c r="I18" s="86">
        <v>9500</v>
      </c>
      <c r="K18" s="87" t="s">
        <v>208</v>
      </c>
      <c r="L18" s="85">
        <v>45</v>
      </c>
      <c r="M18" s="88">
        <v>0</v>
      </c>
      <c r="O18" s="107"/>
      <c r="Q18" s="108" t="s">
        <v>4</v>
      </c>
      <c r="R18" s="153" t="s">
        <v>4</v>
      </c>
      <c r="S18" s="109" t="s">
        <v>4</v>
      </c>
      <c r="U18" s="93">
        <v>7.3</v>
      </c>
      <c r="V18" s="94">
        <v>7.1</v>
      </c>
      <c r="W18" s="95">
        <v>7.1</v>
      </c>
      <c r="Y18" s="90">
        <v>18</v>
      </c>
      <c r="Z18" s="96">
        <v>17</v>
      </c>
      <c r="AA18" s="92">
        <v>17</v>
      </c>
      <c r="AC18" s="93">
        <v>12</v>
      </c>
      <c r="AD18" s="91">
        <v>0.01</v>
      </c>
      <c r="AE18" s="97">
        <v>0</v>
      </c>
      <c r="AG18" s="45">
        <f t="shared" si="2"/>
        <v>7</v>
      </c>
      <c r="AI18" s="98"/>
      <c r="AJ18" s="55">
        <f t="shared" si="3"/>
      </c>
      <c r="AK18" s="98"/>
      <c r="AL18" s="55">
        <f t="shared" si="4"/>
      </c>
      <c r="AM18" s="98"/>
      <c r="AN18" s="55">
        <f t="shared" si="5"/>
      </c>
      <c r="AO18" s="110"/>
      <c r="AQ18" s="100"/>
      <c r="AR18" s="55">
        <f t="shared" si="6"/>
      </c>
      <c r="AS18" s="98"/>
      <c r="AT18" s="55">
        <f t="shared" si="7"/>
      </c>
      <c r="AU18" s="98"/>
      <c r="AV18" s="55">
        <f t="shared" si="8"/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70" t="s">
        <v>150</v>
      </c>
      <c r="BR18" s="270" t="s">
        <v>150</v>
      </c>
      <c r="BS18" s="270" t="s">
        <v>150</v>
      </c>
      <c r="BT18" s="26"/>
      <c r="BU18" s="273">
        <v>6</v>
      </c>
      <c r="BV18" s="270" t="s">
        <v>150</v>
      </c>
      <c r="BW18" s="155">
        <v>8.5</v>
      </c>
      <c r="BX18" s="155" t="s">
        <v>43</v>
      </c>
      <c r="BY18" s="26"/>
      <c r="BZ18" s="270" t="s">
        <v>150</v>
      </c>
      <c r="CA18" s="271" t="s">
        <v>48</v>
      </c>
      <c r="CB18" s="155" t="s">
        <v>23</v>
      </c>
      <c r="CC18" s="137"/>
      <c r="CE18" s="69"/>
      <c r="CF18" s="20" t="s">
        <v>141</v>
      </c>
      <c r="CG18" s="106">
        <f>(IF(((SUM(AM33:AM35))=0)," ",(AVERAGE(AM33:AM35))))</f>
        <v>15.333333333333334</v>
      </c>
      <c r="CH18" s="106">
        <f>(IF(((SUM(AN33:AN35))=0)," ",(AVERAGE(AN33:AN35))))</f>
        <v>315.90529999999995</v>
      </c>
      <c r="CI18" s="286"/>
      <c r="CJ18" s="106">
        <f>(IF(((SUM(AU33:AU35))=0)," ",(AVERAGE(AU33:AU35))))</f>
        <v>21.333333333333332</v>
      </c>
      <c r="CK18" s="106">
        <f>(IF(((SUM(AV33:AV35))=0)," ",(AVERAGE(AV33:AV35))))</f>
        <v>439.51243999999997</v>
      </c>
      <c r="CL18" s="20"/>
      <c r="CM18" s="152">
        <f>(AVERAGE(AE30:AE36))</f>
        <v>0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5">
        <v>2172951</v>
      </c>
      <c r="D19" s="138">
        <f t="shared" si="0"/>
        <v>2.221</v>
      </c>
      <c r="E19" s="140">
        <v>4</v>
      </c>
      <c r="F19" s="141">
        <v>0.5</v>
      </c>
      <c r="G19" s="81" t="str">
        <f t="shared" si="1"/>
        <v>0.00</v>
      </c>
      <c r="H19" s="85">
        <v>2300</v>
      </c>
      <c r="I19" s="86">
        <v>3750</v>
      </c>
      <c r="K19" s="87" t="s">
        <v>210</v>
      </c>
      <c r="L19" s="85">
        <v>52</v>
      </c>
      <c r="M19" s="88">
        <v>0</v>
      </c>
      <c r="O19" s="107"/>
      <c r="Q19" s="108"/>
      <c r="R19" s="153"/>
      <c r="S19" s="109"/>
      <c r="U19" s="93">
        <v>7.2</v>
      </c>
      <c r="V19" s="94">
        <v>7.2</v>
      </c>
      <c r="W19" s="95">
        <v>6.7</v>
      </c>
      <c r="Y19" s="90">
        <v>18</v>
      </c>
      <c r="Z19" s="96">
        <v>17</v>
      </c>
      <c r="AA19" s="92">
        <v>17</v>
      </c>
      <c r="AC19" s="93">
        <v>6</v>
      </c>
      <c r="AD19" s="91">
        <v>0</v>
      </c>
      <c r="AE19" s="97">
        <v>0</v>
      </c>
      <c r="AG19" s="45">
        <f t="shared" si="2"/>
        <v>8</v>
      </c>
      <c r="AI19" s="98">
        <v>363</v>
      </c>
      <c r="AJ19" s="55">
        <f t="shared" si="3"/>
        <v>6723.899820000001</v>
      </c>
      <c r="AK19" s="98"/>
      <c r="AL19" s="55">
        <f t="shared" si="4"/>
      </c>
      <c r="AM19" s="98">
        <v>17</v>
      </c>
      <c r="AN19" s="55">
        <f t="shared" si="5"/>
        <v>314.89338000000004</v>
      </c>
      <c r="AO19" s="110">
        <v>10</v>
      </c>
      <c r="AQ19" s="100">
        <v>406</v>
      </c>
      <c r="AR19" s="55">
        <f t="shared" si="6"/>
        <v>7520.39484</v>
      </c>
      <c r="AS19" s="98"/>
      <c r="AT19" s="55">
        <f t="shared" si="7"/>
      </c>
      <c r="AU19" s="98">
        <v>28</v>
      </c>
      <c r="AV19" s="55">
        <f t="shared" si="8"/>
        <v>518.64792</v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86"/>
      <c r="CH19" s="286"/>
      <c r="CI19" s="286"/>
      <c r="CJ19" s="286"/>
      <c r="CK19" s="286"/>
      <c r="CL19" s="20"/>
      <c r="CM19" s="287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5">
        <v>2175189</v>
      </c>
      <c r="D20" s="138">
        <f t="shared" si="0"/>
        <v>2.238</v>
      </c>
      <c r="E20" s="140">
        <v>3.9</v>
      </c>
      <c r="F20" s="141">
        <v>0.6</v>
      </c>
      <c r="G20" s="81" t="str">
        <f t="shared" si="1"/>
        <v>0.00</v>
      </c>
      <c r="H20" s="85">
        <v>5000</v>
      </c>
      <c r="I20" s="86">
        <v>8500</v>
      </c>
      <c r="K20" s="87" t="s">
        <v>210</v>
      </c>
      <c r="L20" s="85">
        <v>56</v>
      </c>
      <c r="M20" s="88">
        <v>0.01</v>
      </c>
      <c r="O20" s="107"/>
      <c r="Q20" s="108"/>
      <c r="R20" s="153"/>
      <c r="S20" s="109"/>
      <c r="U20" s="93">
        <v>7.3</v>
      </c>
      <c r="V20" s="94">
        <v>6.4</v>
      </c>
      <c r="W20" s="95">
        <v>6.3</v>
      </c>
      <c r="Y20" s="90">
        <v>19</v>
      </c>
      <c r="Z20" s="96">
        <v>18</v>
      </c>
      <c r="AA20" s="92">
        <v>19</v>
      </c>
      <c r="AC20" s="93">
        <v>12</v>
      </c>
      <c r="AD20" s="91">
        <v>0.2</v>
      </c>
      <c r="AE20" s="97">
        <v>0.01</v>
      </c>
      <c r="AG20" s="45">
        <f t="shared" si="2"/>
        <v>9</v>
      </c>
      <c r="AI20" s="98">
        <v>289</v>
      </c>
      <c r="AJ20" s="55">
        <f t="shared" si="3"/>
        <v>5394.161880000001</v>
      </c>
      <c r="AK20" s="98"/>
      <c r="AL20" s="55">
        <f t="shared" si="4"/>
      </c>
      <c r="AM20" s="98">
        <v>15</v>
      </c>
      <c r="AN20" s="55">
        <f t="shared" si="5"/>
        <v>279.9738</v>
      </c>
      <c r="AO20" s="110">
        <v>11</v>
      </c>
      <c r="AQ20" s="100">
        <v>260</v>
      </c>
      <c r="AR20" s="55">
        <f t="shared" si="6"/>
        <v>4852.8792</v>
      </c>
      <c r="AS20" s="98"/>
      <c r="AT20" s="55">
        <f t="shared" si="7"/>
      </c>
      <c r="AU20" s="98">
        <v>25</v>
      </c>
      <c r="AV20" s="55">
        <f t="shared" si="8"/>
        <v>466.623</v>
      </c>
      <c r="AX20" s="100">
        <v>54786</v>
      </c>
      <c r="AY20" s="101">
        <v>3</v>
      </c>
      <c r="AZ20" s="102">
        <v>4</v>
      </c>
      <c r="BA20" s="98">
        <v>34.1</v>
      </c>
      <c r="BB20" s="102">
        <v>27</v>
      </c>
      <c r="BC20" s="98">
        <v>24</v>
      </c>
      <c r="BD20" s="98"/>
      <c r="BE20" s="103"/>
      <c r="BG20" s="100">
        <v>24</v>
      </c>
      <c r="BH20" s="84" t="s">
        <v>212</v>
      </c>
      <c r="BI20" s="104" t="s">
        <v>211</v>
      </c>
      <c r="CE20" s="69"/>
      <c r="CF20" s="20" t="s">
        <v>142</v>
      </c>
      <c r="CG20" s="106">
        <f>(IF(((SUM(AM40:AM42))=0)," ",(AVERAGE(AM40:AM42))))</f>
        <v>14</v>
      </c>
      <c r="CH20" s="106">
        <f>(IF(((SUM(AN40:AN42))=0)," ",(AVERAGE(AN35:AN37))))</f>
        <v>308.74679999999995</v>
      </c>
      <c r="CI20" s="286"/>
      <c r="CJ20" s="106">
        <f>(IF(((SUM(AU40:AU42))=0)," ",(AVERAGE(AU40:AU42))))</f>
        <v>22.666666666666668</v>
      </c>
      <c r="CK20" s="106">
        <f>(IF(((SUM(AV40:AV42))=0)," ",(AVERAGE(AV40:AV42))))</f>
        <v>649.42468</v>
      </c>
      <c r="CL20" s="20"/>
      <c r="CM20" s="152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3">
        <v>2177604</v>
      </c>
      <c r="D21" s="139">
        <f t="shared" si="0"/>
        <v>2.415</v>
      </c>
      <c r="E21" s="142">
        <v>3.8</v>
      </c>
      <c r="F21" s="143">
        <v>0.5</v>
      </c>
      <c r="G21" s="184" t="str">
        <f t="shared" si="1"/>
        <v>0.00</v>
      </c>
      <c r="H21" s="113">
        <v>1000</v>
      </c>
      <c r="I21" s="114">
        <v>9000</v>
      </c>
      <c r="K21" s="115" t="s">
        <v>210</v>
      </c>
      <c r="L21" s="113">
        <v>54</v>
      </c>
      <c r="M21" s="116">
        <v>0</v>
      </c>
      <c r="O21" s="117">
        <v>10</v>
      </c>
      <c r="Q21" s="108"/>
      <c r="R21" s="153"/>
      <c r="S21" s="109"/>
      <c r="U21" s="118">
        <v>7.2</v>
      </c>
      <c r="V21" s="119">
        <v>7.1</v>
      </c>
      <c r="W21" s="120">
        <v>6.8</v>
      </c>
      <c r="Y21" s="121">
        <v>18</v>
      </c>
      <c r="Z21" s="122">
        <v>17</v>
      </c>
      <c r="AA21" s="123">
        <v>18</v>
      </c>
      <c r="AC21" s="118">
        <v>6</v>
      </c>
      <c r="AD21" s="124">
        <v>0.01</v>
      </c>
      <c r="AE21" s="125">
        <v>0.01</v>
      </c>
      <c r="AG21" s="45">
        <f t="shared" si="2"/>
        <v>10</v>
      </c>
      <c r="AI21" s="126">
        <v>332</v>
      </c>
      <c r="AJ21" s="65">
        <f t="shared" si="3"/>
        <v>6686.8452</v>
      </c>
      <c r="AK21" s="126">
        <v>190</v>
      </c>
      <c r="AL21" s="65">
        <f t="shared" si="4"/>
        <v>3826.809</v>
      </c>
      <c r="AM21" s="126">
        <v>18</v>
      </c>
      <c r="AN21" s="65">
        <f t="shared" si="5"/>
        <v>362.53979999999996</v>
      </c>
      <c r="AO21" s="127">
        <v>11</v>
      </c>
      <c r="AQ21" s="128">
        <v>264</v>
      </c>
      <c r="AR21" s="65">
        <f t="shared" si="6"/>
        <v>5317.250400000001</v>
      </c>
      <c r="AS21" s="126">
        <v>84</v>
      </c>
      <c r="AT21" s="65">
        <f t="shared" si="7"/>
        <v>1691.8524</v>
      </c>
      <c r="AU21" s="126">
        <v>24</v>
      </c>
      <c r="AV21" s="65">
        <f t="shared" si="8"/>
        <v>483.3864</v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5">
        <v>2179767</v>
      </c>
      <c r="D22" s="138">
        <f t="shared" si="0"/>
        <v>2.163</v>
      </c>
      <c r="E22" s="140">
        <v>3.8</v>
      </c>
      <c r="F22" s="141">
        <v>0.5</v>
      </c>
      <c r="G22" s="81" t="str">
        <f t="shared" si="1"/>
        <v>0.00</v>
      </c>
      <c r="H22" s="85">
        <v>2500</v>
      </c>
      <c r="I22" s="86">
        <v>1000</v>
      </c>
      <c r="K22" s="87" t="s">
        <v>210</v>
      </c>
      <c r="L22" s="85">
        <v>55</v>
      </c>
      <c r="M22" s="88">
        <v>0.01</v>
      </c>
      <c r="O22" s="107"/>
      <c r="Q22" s="108" t="s">
        <v>4</v>
      </c>
      <c r="R22" s="153" t="s">
        <v>4</v>
      </c>
      <c r="S22" s="109" t="s">
        <v>4</v>
      </c>
      <c r="U22" s="93">
        <v>7.2</v>
      </c>
      <c r="V22" s="94">
        <v>7</v>
      </c>
      <c r="W22" s="95">
        <v>6.7</v>
      </c>
      <c r="Y22" s="90">
        <v>18</v>
      </c>
      <c r="Z22" s="96">
        <v>17</v>
      </c>
      <c r="AA22" s="92">
        <v>18</v>
      </c>
      <c r="AC22" s="93">
        <v>4.5</v>
      </c>
      <c r="AD22" s="91">
        <v>0.01</v>
      </c>
      <c r="AE22" s="97">
        <v>0</v>
      </c>
      <c r="AG22" s="45">
        <f t="shared" si="2"/>
        <v>11</v>
      </c>
      <c r="AI22" s="98"/>
      <c r="AJ22" s="55">
        <f t="shared" si="3"/>
      </c>
      <c r="AK22" s="98"/>
      <c r="AL22" s="55">
        <f t="shared" si="4"/>
      </c>
      <c r="AM22" s="98"/>
      <c r="AN22" s="55">
        <f t="shared" si="5"/>
      </c>
      <c r="AO22" s="110"/>
      <c r="AQ22" s="100"/>
      <c r="AR22" s="55">
        <f t="shared" si="6"/>
      </c>
      <c r="AS22" s="98"/>
      <c r="AT22" s="55">
        <f t="shared" si="7"/>
      </c>
      <c r="AU22" s="98"/>
      <c r="AV22" s="55">
        <f t="shared" si="8"/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86">
        <f>(IF(((SUM(AV12:AV42))=0)," ",(AVERAGE(AV12:AV42))))</f>
        <v>505.9194119999999</v>
      </c>
      <c r="BR22" s="186">
        <f>MAX(AV12:AV42)</f>
        <v>740.1583199999999</v>
      </c>
      <c r="BS22" s="26" t="s">
        <v>126</v>
      </c>
      <c r="BT22" s="26"/>
      <c r="BU22" s="186">
        <f>(IF(((SUM(AU12:AU42))=0)," ",(AVERAGE(AU12:AU42))))</f>
        <v>23.2</v>
      </c>
      <c r="BV22" s="58">
        <f>(CJ23)</f>
        <v>25.666666666666668</v>
      </c>
      <c r="BW22" s="186">
        <f>MAX(AU12:AU42)</f>
        <v>28</v>
      </c>
      <c r="BX22" s="26" t="s">
        <v>128</v>
      </c>
      <c r="BY22" s="26"/>
      <c r="BZ22" s="26">
        <v>0</v>
      </c>
      <c r="CA22" s="267" t="s">
        <v>47</v>
      </c>
      <c r="CB22" s="26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5">
        <v>2181884</v>
      </c>
      <c r="D23" s="138">
        <f t="shared" si="0"/>
        <v>2.117</v>
      </c>
      <c r="E23" s="140">
        <v>4.8</v>
      </c>
      <c r="F23" s="141">
        <v>0.6</v>
      </c>
      <c r="G23" s="81" t="str">
        <f t="shared" si="1"/>
        <v>0.00</v>
      </c>
      <c r="H23" s="85">
        <v>0</v>
      </c>
      <c r="I23" s="86">
        <v>0</v>
      </c>
      <c r="K23" s="87" t="s">
        <v>210</v>
      </c>
      <c r="L23" s="85">
        <v>54</v>
      </c>
      <c r="M23" s="88">
        <v>1.18</v>
      </c>
      <c r="O23" s="107"/>
      <c r="Q23" s="108"/>
      <c r="R23" s="153"/>
      <c r="S23" s="109"/>
      <c r="U23" s="93">
        <v>7.2</v>
      </c>
      <c r="V23" s="94">
        <v>7.1</v>
      </c>
      <c r="W23" s="95">
        <v>6.6</v>
      </c>
      <c r="Y23" s="90">
        <v>18</v>
      </c>
      <c r="Z23" s="96">
        <v>18</v>
      </c>
      <c r="AA23" s="92">
        <v>19</v>
      </c>
      <c r="AC23" s="93">
        <v>6.5</v>
      </c>
      <c r="AD23" s="91">
        <v>0.01</v>
      </c>
      <c r="AE23" s="97">
        <v>0</v>
      </c>
      <c r="AG23" s="45">
        <f t="shared" si="2"/>
        <v>12</v>
      </c>
      <c r="AI23" s="98"/>
      <c r="AJ23" s="55">
        <f t="shared" si="3"/>
      </c>
      <c r="AK23" s="98"/>
      <c r="AL23" s="55">
        <f t="shared" si="4"/>
      </c>
      <c r="AM23" s="98"/>
      <c r="AN23" s="55">
        <f t="shared" si="5"/>
      </c>
      <c r="AO23" s="110"/>
      <c r="AQ23" s="100"/>
      <c r="AR23" s="55">
        <f t="shared" si="6"/>
      </c>
      <c r="AS23" s="98"/>
      <c r="AT23" s="55">
        <f t="shared" si="7"/>
      </c>
      <c r="AU23" s="98"/>
      <c r="AV23" s="55">
        <f t="shared" si="8"/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68">
        <v>963</v>
      </c>
      <c r="BR23" s="268">
        <v>1605</v>
      </c>
      <c r="BS23" s="155" t="s">
        <v>126</v>
      </c>
      <c r="BT23" s="26"/>
      <c r="BU23" s="268">
        <v>30</v>
      </c>
      <c r="BV23" s="269">
        <v>45</v>
      </c>
      <c r="BW23" s="268">
        <v>50</v>
      </c>
      <c r="BX23" s="155" t="s">
        <v>128</v>
      </c>
      <c r="BY23" s="26"/>
      <c r="BZ23" s="270" t="s">
        <v>150</v>
      </c>
      <c r="CA23" s="271" t="s">
        <v>47</v>
      </c>
      <c r="CB23" s="155">
        <v>24</v>
      </c>
      <c r="CC23" s="137"/>
      <c r="CE23" s="69"/>
      <c r="CF23" s="72" t="s">
        <v>53</v>
      </c>
      <c r="CG23" s="186">
        <f>(IF(((SUM(CG12:CG20))=0)," ",(MAX(CG12:CG20))))</f>
        <v>16.666666666666668</v>
      </c>
      <c r="CH23" s="186">
        <f>(IF(((SUM(CH12:CH20))=0)," ",(MAX(CH12:CH20))))</f>
        <v>381.1102</v>
      </c>
      <c r="CI23" s="186"/>
      <c r="CJ23" s="186">
        <f>(IF(((SUM(CJ12:CJ20))=0)," ",(MAX(CJ12:CJ20))))</f>
        <v>25.666666666666668</v>
      </c>
      <c r="CK23" s="186">
        <f>(IF(((SUM(CK12:CK20))=0)," ",(MAX(CK12:CK20))))</f>
        <v>649.42468</v>
      </c>
      <c r="CL23" s="71"/>
      <c r="CM23" s="60">
        <f>(MAX(CM12:CM20))</f>
        <v>0.004285714285714286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5">
        <v>2184269</v>
      </c>
      <c r="D24" s="138">
        <f t="shared" si="0"/>
        <v>2.385</v>
      </c>
      <c r="E24" s="140">
        <v>4</v>
      </c>
      <c r="F24" s="141">
        <v>0.6</v>
      </c>
      <c r="G24" s="81" t="str">
        <f t="shared" si="1"/>
        <v>0.00</v>
      </c>
      <c r="H24" s="85">
        <v>3200</v>
      </c>
      <c r="I24" s="86">
        <v>1800</v>
      </c>
      <c r="K24" s="87" t="s">
        <v>208</v>
      </c>
      <c r="L24" s="85">
        <v>58</v>
      </c>
      <c r="M24" s="88">
        <v>0.01</v>
      </c>
      <c r="O24" s="107"/>
      <c r="Q24" s="108" t="s">
        <v>10</v>
      </c>
      <c r="R24" s="153" t="s">
        <v>10</v>
      </c>
      <c r="S24" s="109" t="s">
        <v>10</v>
      </c>
      <c r="U24" s="93">
        <v>7</v>
      </c>
      <c r="V24" s="94">
        <v>7</v>
      </c>
      <c r="W24" s="95">
        <v>6.6</v>
      </c>
      <c r="Y24" s="90">
        <v>17</v>
      </c>
      <c r="Z24" s="96">
        <v>17</v>
      </c>
      <c r="AA24" s="92">
        <v>17</v>
      </c>
      <c r="AC24" s="93">
        <v>4</v>
      </c>
      <c r="AD24" s="91">
        <v>0.01</v>
      </c>
      <c r="AE24" s="97">
        <v>0</v>
      </c>
      <c r="AG24" s="45">
        <f t="shared" si="2"/>
        <v>13</v>
      </c>
      <c r="AI24" s="98"/>
      <c r="AJ24" s="55">
        <f t="shared" si="3"/>
      </c>
      <c r="AK24" s="98"/>
      <c r="AL24" s="55">
        <f t="shared" si="4"/>
      </c>
      <c r="AM24" s="98"/>
      <c r="AN24" s="55">
        <f t="shared" si="5"/>
      </c>
      <c r="AO24" s="110"/>
      <c r="AQ24" s="100"/>
      <c r="AR24" s="55">
        <f t="shared" si="6"/>
      </c>
      <c r="AS24" s="98"/>
      <c r="AT24" s="55">
        <f t="shared" si="7"/>
      </c>
      <c r="AU24" s="98"/>
      <c r="AV24" s="55">
        <f t="shared" si="8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5">
        <v>2186635</v>
      </c>
      <c r="D25" s="138">
        <f t="shared" si="0"/>
        <v>2.366</v>
      </c>
      <c r="E25" s="140">
        <v>3.8</v>
      </c>
      <c r="F25" s="141">
        <v>0.6</v>
      </c>
      <c r="G25" s="81" t="str">
        <f t="shared" si="1"/>
        <v>0.00</v>
      </c>
      <c r="H25" s="85">
        <v>6500</v>
      </c>
      <c r="I25" s="86">
        <v>8000</v>
      </c>
      <c r="K25" s="87" t="s">
        <v>210</v>
      </c>
      <c r="L25" s="85">
        <v>51</v>
      </c>
      <c r="M25" s="88">
        <v>0</v>
      </c>
      <c r="O25" s="107"/>
      <c r="Q25" s="108"/>
      <c r="R25" s="153"/>
      <c r="S25" s="109"/>
      <c r="U25" s="93">
        <v>7</v>
      </c>
      <c r="V25" s="94">
        <v>7</v>
      </c>
      <c r="W25" s="95">
        <v>6.7</v>
      </c>
      <c r="Y25" s="90">
        <v>18</v>
      </c>
      <c r="Z25" s="96">
        <v>17</v>
      </c>
      <c r="AA25" s="92">
        <v>18</v>
      </c>
      <c r="AC25" s="93">
        <v>3.5</v>
      </c>
      <c r="AD25" s="91">
        <v>0.1</v>
      </c>
      <c r="AE25" s="97">
        <v>0</v>
      </c>
      <c r="AG25" s="45">
        <f t="shared" si="2"/>
        <v>14</v>
      </c>
      <c r="AI25" s="98"/>
      <c r="AJ25" s="55">
        <f t="shared" si="3"/>
      </c>
      <c r="AK25" s="98"/>
      <c r="AL25" s="55">
        <f t="shared" si="4"/>
      </c>
      <c r="AM25" s="98"/>
      <c r="AN25" s="55">
        <f t="shared" si="5"/>
      </c>
      <c r="AO25" s="110"/>
      <c r="AQ25" s="100"/>
      <c r="AR25" s="55">
        <f t="shared" si="6"/>
      </c>
      <c r="AS25" s="98"/>
      <c r="AT25" s="55">
        <f t="shared" si="7"/>
      </c>
      <c r="AU25" s="98"/>
      <c r="AV25" s="55">
        <f t="shared" si="8"/>
      </c>
      <c r="AX25" s="100">
        <v>66268</v>
      </c>
      <c r="AY25" s="101">
        <v>3</v>
      </c>
      <c r="AZ25" s="102">
        <v>4.5</v>
      </c>
      <c r="BA25" s="98">
        <v>43.4</v>
      </c>
      <c r="BB25" s="102">
        <v>28</v>
      </c>
      <c r="BC25" s="98">
        <v>24</v>
      </c>
      <c r="BD25" s="98"/>
      <c r="BE25" s="103"/>
      <c r="BG25" s="100">
        <v>24</v>
      </c>
      <c r="BH25" s="84" t="s">
        <v>212</v>
      </c>
      <c r="BI25" s="104" t="s">
        <v>211</v>
      </c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3">
        <v>2188992</v>
      </c>
      <c r="D26" s="139">
        <f t="shared" si="0"/>
        <v>2.357</v>
      </c>
      <c r="E26" s="142">
        <v>6</v>
      </c>
      <c r="F26" s="143">
        <v>0.8</v>
      </c>
      <c r="G26" s="184" t="str">
        <f t="shared" si="1"/>
        <v>0.00</v>
      </c>
      <c r="H26" s="113">
        <v>4500</v>
      </c>
      <c r="I26" s="114">
        <v>10000</v>
      </c>
      <c r="K26" s="115" t="s">
        <v>213</v>
      </c>
      <c r="L26" s="113">
        <v>57</v>
      </c>
      <c r="M26" s="116">
        <v>2.15</v>
      </c>
      <c r="O26" s="117"/>
      <c r="Q26" s="108" t="s">
        <v>11</v>
      </c>
      <c r="R26" s="153" t="s">
        <v>11</v>
      </c>
      <c r="S26" s="109" t="s">
        <v>11</v>
      </c>
      <c r="U26" s="118">
        <v>7</v>
      </c>
      <c r="V26" s="119">
        <v>7</v>
      </c>
      <c r="W26" s="120">
        <v>6.9</v>
      </c>
      <c r="Y26" s="121">
        <v>17</v>
      </c>
      <c r="Z26" s="122">
        <v>17</v>
      </c>
      <c r="AA26" s="123">
        <v>18</v>
      </c>
      <c r="AC26" s="118">
        <v>7.5</v>
      </c>
      <c r="AD26" s="124">
        <v>0.01</v>
      </c>
      <c r="AE26" s="125">
        <v>0</v>
      </c>
      <c r="AG26" s="45">
        <f t="shared" si="2"/>
        <v>15</v>
      </c>
      <c r="AI26" s="126">
        <v>305</v>
      </c>
      <c r="AJ26" s="65">
        <f t="shared" si="3"/>
        <v>5995.500900000001</v>
      </c>
      <c r="AK26" s="126"/>
      <c r="AL26" s="65">
        <f t="shared" si="4"/>
      </c>
      <c r="AM26" s="126">
        <v>18</v>
      </c>
      <c r="AN26" s="65">
        <f t="shared" si="5"/>
        <v>353.83284000000003</v>
      </c>
      <c r="AO26" s="127">
        <v>14</v>
      </c>
      <c r="AQ26" s="128">
        <v>282</v>
      </c>
      <c r="AR26" s="65">
        <f t="shared" si="6"/>
        <v>5543.381160000001</v>
      </c>
      <c r="AS26" s="126"/>
      <c r="AT26" s="65">
        <f t="shared" si="7"/>
      </c>
      <c r="AU26" s="126">
        <v>25</v>
      </c>
      <c r="AV26" s="65">
        <f t="shared" si="8"/>
        <v>491.4345</v>
      </c>
      <c r="AX26" s="128">
        <v>29861</v>
      </c>
      <c r="AY26" s="129">
        <v>3</v>
      </c>
      <c r="AZ26" s="130">
        <v>2</v>
      </c>
      <c r="BA26" s="126">
        <v>15.5</v>
      </c>
      <c r="BB26" s="130">
        <v>30</v>
      </c>
      <c r="BC26" s="126">
        <v>12</v>
      </c>
      <c r="BD26" s="126"/>
      <c r="BE26" s="131"/>
      <c r="BG26" s="128">
        <v>12</v>
      </c>
      <c r="BH26" s="111" t="s">
        <v>212</v>
      </c>
      <c r="BI26" s="132" t="s">
        <v>211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5">
        <v>2192164</v>
      </c>
      <c r="D27" s="138">
        <f t="shared" si="0"/>
        <v>3.172</v>
      </c>
      <c r="E27" s="140">
        <v>4.2</v>
      </c>
      <c r="F27" s="141">
        <v>0.7</v>
      </c>
      <c r="G27" s="81" t="str">
        <f t="shared" si="1"/>
        <v>0.00</v>
      </c>
      <c r="H27" s="85">
        <v>1550</v>
      </c>
      <c r="I27" s="86">
        <v>9000</v>
      </c>
      <c r="K27" s="87" t="s">
        <v>210</v>
      </c>
      <c r="L27" s="85">
        <v>48</v>
      </c>
      <c r="M27" s="88">
        <v>0</v>
      </c>
      <c r="O27" s="107"/>
      <c r="Q27" s="108"/>
      <c r="R27" s="153"/>
      <c r="S27" s="109"/>
      <c r="U27" s="93">
        <v>8.1</v>
      </c>
      <c r="V27" s="94">
        <v>7.1</v>
      </c>
      <c r="W27" s="95">
        <v>7</v>
      </c>
      <c r="Y27" s="90">
        <v>17</v>
      </c>
      <c r="Z27" s="96">
        <v>17</v>
      </c>
      <c r="AA27" s="92">
        <v>17</v>
      </c>
      <c r="AC27" s="93">
        <v>6.5</v>
      </c>
      <c r="AD27" s="91">
        <v>0.1</v>
      </c>
      <c r="AE27" s="97">
        <v>0.01</v>
      </c>
      <c r="AG27" s="45">
        <f t="shared" si="2"/>
        <v>16</v>
      </c>
      <c r="AI27" s="98">
        <v>148</v>
      </c>
      <c r="AJ27" s="55">
        <f t="shared" si="3"/>
        <v>3915.2630400000003</v>
      </c>
      <c r="AK27" s="98"/>
      <c r="AL27" s="55">
        <f t="shared" si="4"/>
      </c>
      <c r="AM27" s="98">
        <v>17</v>
      </c>
      <c r="AN27" s="55">
        <f t="shared" si="5"/>
        <v>449.72616</v>
      </c>
      <c r="AO27" s="110">
        <v>12</v>
      </c>
      <c r="AQ27" s="100">
        <v>114</v>
      </c>
      <c r="AR27" s="55">
        <f t="shared" si="6"/>
        <v>3015.81072</v>
      </c>
      <c r="AS27" s="98"/>
      <c r="AT27" s="55">
        <f t="shared" si="7"/>
      </c>
      <c r="AU27" s="98">
        <v>23</v>
      </c>
      <c r="AV27" s="55">
        <f t="shared" si="8"/>
        <v>608.45304</v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5">
        <v>2194880</v>
      </c>
      <c r="D28" s="138">
        <f t="shared" si="0"/>
        <v>2.716</v>
      </c>
      <c r="E28" s="140">
        <v>4</v>
      </c>
      <c r="F28" s="141">
        <v>0.8</v>
      </c>
      <c r="G28" s="81" t="str">
        <f t="shared" si="1"/>
        <v>0.00</v>
      </c>
      <c r="H28" s="85">
        <v>0</v>
      </c>
      <c r="I28" s="86">
        <v>5000</v>
      </c>
      <c r="K28" s="87" t="s">
        <v>210</v>
      </c>
      <c r="L28" s="85">
        <v>46</v>
      </c>
      <c r="M28" s="88">
        <v>0</v>
      </c>
      <c r="O28" s="107"/>
      <c r="Q28" s="108"/>
      <c r="R28" s="153"/>
      <c r="S28" s="109"/>
      <c r="U28" s="93">
        <v>7</v>
      </c>
      <c r="V28" s="94">
        <v>7</v>
      </c>
      <c r="W28" s="95">
        <v>6.9</v>
      </c>
      <c r="Y28" s="90">
        <v>17</v>
      </c>
      <c r="Z28" s="96">
        <v>17</v>
      </c>
      <c r="AA28" s="92">
        <v>17</v>
      </c>
      <c r="AC28" s="93">
        <v>4</v>
      </c>
      <c r="AD28" s="91">
        <v>0.1</v>
      </c>
      <c r="AE28" s="97">
        <v>0.01</v>
      </c>
      <c r="AG28" s="45">
        <f t="shared" si="2"/>
        <v>17</v>
      </c>
      <c r="AI28" s="98">
        <v>282</v>
      </c>
      <c r="AJ28" s="55">
        <f t="shared" si="3"/>
        <v>6387.70608</v>
      </c>
      <c r="AK28" s="98">
        <v>140</v>
      </c>
      <c r="AL28" s="55">
        <f t="shared" si="4"/>
        <v>3171.2016</v>
      </c>
      <c r="AM28" s="98">
        <v>15</v>
      </c>
      <c r="AN28" s="55">
        <f t="shared" si="5"/>
        <v>339.77160000000003</v>
      </c>
      <c r="AO28" s="110">
        <v>7</v>
      </c>
      <c r="AQ28" s="100">
        <v>292</v>
      </c>
      <c r="AR28" s="55">
        <f t="shared" si="6"/>
        <v>6614.22048</v>
      </c>
      <c r="AS28" s="98">
        <v>91</v>
      </c>
      <c r="AT28" s="55">
        <f t="shared" si="7"/>
        <v>2061.28104</v>
      </c>
      <c r="AU28" s="98">
        <v>15</v>
      </c>
      <c r="AV28" s="55">
        <f t="shared" si="8"/>
        <v>339.77160000000003</v>
      </c>
      <c r="AX28" s="100">
        <v>26341</v>
      </c>
      <c r="AY28" s="101">
        <v>2</v>
      </c>
      <c r="AZ28" s="102">
        <v>2</v>
      </c>
      <c r="BA28" s="98">
        <v>21.7</v>
      </c>
      <c r="BB28" s="102">
        <v>30</v>
      </c>
      <c r="BC28" s="98">
        <v>12</v>
      </c>
      <c r="BD28" s="98"/>
      <c r="BE28" s="103"/>
      <c r="BG28" s="100">
        <v>12</v>
      </c>
      <c r="BH28" s="84" t="s">
        <v>212</v>
      </c>
      <c r="BI28" s="104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72" t="s">
        <v>150</v>
      </c>
      <c r="BR28" s="272" t="s">
        <v>150</v>
      </c>
      <c r="BS28" s="272" t="s">
        <v>150</v>
      </c>
      <c r="BT28" s="272"/>
      <c r="BU28" s="272" t="s">
        <v>150</v>
      </c>
      <c r="BV28" s="71">
        <f>(CM23)</f>
        <v>0.004285714285714286</v>
      </c>
      <c r="BW28" s="71">
        <f>MAX(AE12:AE42)</f>
        <v>0.01</v>
      </c>
      <c r="BX28" s="26" t="s">
        <v>128</v>
      </c>
      <c r="BY28" s="26"/>
      <c r="BZ28" s="26">
        <v>0</v>
      </c>
      <c r="CA28" s="267" t="s">
        <v>48</v>
      </c>
      <c r="CB28" s="26" t="s">
        <v>23</v>
      </c>
      <c r="CC28" s="137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5">
        <v>2197420</v>
      </c>
      <c r="D29" s="138">
        <f t="shared" si="0"/>
        <v>2.54</v>
      </c>
      <c r="E29" s="140">
        <v>4</v>
      </c>
      <c r="F29" s="141">
        <v>0.8</v>
      </c>
      <c r="G29" s="81" t="str">
        <f t="shared" si="1"/>
        <v>0.00</v>
      </c>
      <c r="H29" s="85">
        <v>1200</v>
      </c>
      <c r="I29" s="86">
        <v>2000</v>
      </c>
      <c r="K29" s="87" t="s">
        <v>208</v>
      </c>
      <c r="L29" s="85">
        <v>46</v>
      </c>
      <c r="M29" s="88">
        <v>0.04</v>
      </c>
      <c r="O29" s="107"/>
      <c r="Q29" s="108"/>
      <c r="R29" s="153"/>
      <c r="S29" s="109"/>
      <c r="U29" s="93">
        <v>7.1</v>
      </c>
      <c r="V29" s="94">
        <v>7</v>
      </c>
      <c r="W29" s="95">
        <v>7</v>
      </c>
      <c r="Y29" s="90">
        <v>17</v>
      </c>
      <c r="Z29" s="96">
        <v>17</v>
      </c>
      <c r="AA29" s="92">
        <v>17</v>
      </c>
      <c r="AC29" s="93">
        <v>7</v>
      </c>
      <c r="AD29" s="91">
        <v>0.01</v>
      </c>
      <c r="AE29" s="97">
        <v>0</v>
      </c>
      <c r="AG29" s="45">
        <f t="shared" si="2"/>
        <v>18</v>
      </c>
      <c r="AI29" s="98"/>
      <c r="AJ29" s="55">
        <f t="shared" si="3"/>
      </c>
      <c r="AK29" s="98"/>
      <c r="AL29" s="55">
        <f t="shared" si="4"/>
      </c>
      <c r="AM29" s="98"/>
      <c r="AN29" s="55">
        <f t="shared" si="5"/>
      </c>
      <c r="AO29" s="110"/>
      <c r="AQ29" s="100"/>
      <c r="AR29" s="55">
        <f t="shared" si="6"/>
      </c>
      <c r="AS29" s="98"/>
      <c r="AT29" s="55">
        <f t="shared" si="7"/>
      </c>
      <c r="AU29" s="98"/>
      <c r="AV29" s="55">
        <f t="shared" si="8"/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70" t="s">
        <v>150</v>
      </c>
      <c r="BR29" s="270" t="s">
        <v>150</v>
      </c>
      <c r="BS29" s="270" t="s">
        <v>150</v>
      </c>
      <c r="BT29" s="272"/>
      <c r="BU29" s="270" t="s">
        <v>150</v>
      </c>
      <c r="BV29" s="155" t="s">
        <v>146</v>
      </c>
      <c r="BW29" s="155">
        <v>0.3</v>
      </c>
      <c r="BX29" s="155" t="s">
        <v>128</v>
      </c>
      <c r="BY29" s="26"/>
      <c r="BZ29" s="270" t="s">
        <v>150</v>
      </c>
      <c r="CA29" s="271" t="s">
        <v>48</v>
      </c>
      <c r="CB29" s="155" t="s">
        <v>23</v>
      </c>
      <c r="CC29" s="137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5">
        <v>2199805</v>
      </c>
      <c r="D30" s="138">
        <f t="shared" si="0"/>
        <v>2.385</v>
      </c>
      <c r="E30" s="140">
        <v>3.8</v>
      </c>
      <c r="F30" s="141">
        <v>0.7</v>
      </c>
      <c r="G30" s="81" t="str">
        <f t="shared" si="1"/>
        <v>0.00</v>
      </c>
      <c r="H30" s="85">
        <v>0</v>
      </c>
      <c r="I30" s="86">
        <v>0</v>
      </c>
      <c r="K30" s="87" t="s">
        <v>208</v>
      </c>
      <c r="L30" s="85">
        <v>42</v>
      </c>
      <c r="M30" s="88">
        <v>0.01</v>
      </c>
      <c r="O30" s="107"/>
      <c r="Q30" s="108" t="s">
        <v>12</v>
      </c>
      <c r="R30" s="153" t="s">
        <v>12</v>
      </c>
      <c r="S30" s="109" t="s">
        <v>12</v>
      </c>
      <c r="U30" s="93">
        <v>6.9</v>
      </c>
      <c r="V30" s="94">
        <v>7</v>
      </c>
      <c r="W30" s="95">
        <v>6.9</v>
      </c>
      <c r="Y30" s="90">
        <v>16</v>
      </c>
      <c r="Z30" s="96">
        <v>16</v>
      </c>
      <c r="AA30" s="92">
        <v>16</v>
      </c>
      <c r="AC30" s="93">
        <v>3.5</v>
      </c>
      <c r="AD30" s="91">
        <v>0.01</v>
      </c>
      <c r="AE30" s="97">
        <v>0</v>
      </c>
      <c r="AG30" s="45">
        <f t="shared" si="2"/>
        <v>19</v>
      </c>
      <c r="AI30" s="98"/>
      <c r="AJ30" s="55">
        <f t="shared" si="3"/>
      </c>
      <c r="AK30" s="98"/>
      <c r="AL30" s="55">
        <f t="shared" si="4"/>
      </c>
      <c r="AM30" s="98"/>
      <c r="AN30" s="55">
        <f t="shared" si="5"/>
      </c>
      <c r="AO30" s="110"/>
      <c r="AQ30" s="100"/>
      <c r="AR30" s="55">
        <f t="shared" si="6"/>
      </c>
      <c r="AS30" s="98"/>
      <c r="AT30" s="55">
        <f t="shared" si="7"/>
      </c>
      <c r="AU30" s="98"/>
      <c r="AV30" s="55">
        <f t="shared" si="8"/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3">
        <v>2202188</v>
      </c>
      <c r="D31" s="139">
        <f t="shared" si="0"/>
        <v>2.383</v>
      </c>
      <c r="E31" s="142">
        <v>4.2</v>
      </c>
      <c r="F31" s="143">
        <v>0.7</v>
      </c>
      <c r="G31" s="184" t="str">
        <f t="shared" si="1"/>
        <v>0.00</v>
      </c>
      <c r="H31" s="113">
        <v>1000</v>
      </c>
      <c r="I31" s="114">
        <v>10000</v>
      </c>
      <c r="K31" s="115" t="s">
        <v>210</v>
      </c>
      <c r="L31" s="113">
        <v>40</v>
      </c>
      <c r="M31" s="116">
        <v>0</v>
      </c>
      <c r="O31" s="117"/>
      <c r="Q31" s="108"/>
      <c r="R31" s="153"/>
      <c r="S31" s="109"/>
      <c r="U31" s="118">
        <v>6.9</v>
      </c>
      <c r="V31" s="119">
        <v>6.9</v>
      </c>
      <c r="W31" s="120">
        <v>6.8</v>
      </c>
      <c r="Y31" s="121">
        <v>17</v>
      </c>
      <c r="Z31" s="122">
        <v>16</v>
      </c>
      <c r="AA31" s="123">
        <v>16</v>
      </c>
      <c r="AC31" s="118">
        <v>3.5</v>
      </c>
      <c r="AD31" s="124">
        <v>0.01</v>
      </c>
      <c r="AE31" s="125">
        <v>0</v>
      </c>
      <c r="AG31" s="45">
        <f t="shared" si="2"/>
        <v>20</v>
      </c>
      <c r="AI31" s="126"/>
      <c r="AJ31" s="65">
        <f t="shared" si="3"/>
      </c>
      <c r="AK31" s="126"/>
      <c r="AL31" s="65">
        <f t="shared" si="4"/>
      </c>
      <c r="AM31" s="126"/>
      <c r="AN31" s="65">
        <f t="shared" si="5"/>
      </c>
      <c r="AO31" s="127"/>
      <c r="AQ31" s="128"/>
      <c r="AR31" s="65">
        <f t="shared" si="6"/>
      </c>
      <c r="AS31" s="126"/>
      <c r="AT31" s="65">
        <f t="shared" si="7"/>
      </c>
      <c r="AU31" s="126"/>
      <c r="AV31" s="65">
        <f t="shared" si="8"/>
      </c>
      <c r="AX31" s="128">
        <v>52912</v>
      </c>
      <c r="AY31" s="129">
        <v>3</v>
      </c>
      <c r="AZ31" s="130">
        <v>3.5</v>
      </c>
      <c r="BA31" s="126">
        <v>34.1</v>
      </c>
      <c r="BB31" s="130">
        <v>28</v>
      </c>
      <c r="BC31" s="126">
        <v>24</v>
      </c>
      <c r="BD31" s="126"/>
      <c r="BE31" s="131"/>
      <c r="BG31" s="128">
        <v>24</v>
      </c>
      <c r="BH31" s="111" t="s">
        <v>212</v>
      </c>
      <c r="BI31" s="132" t="s">
        <v>211</v>
      </c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5">
        <v>2204674</v>
      </c>
      <c r="D32" s="138">
        <f t="shared" si="0"/>
        <v>2.486</v>
      </c>
      <c r="E32" s="140">
        <v>3.6</v>
      </c>
      <c r="F32" s="141">
        <v>0.7</v>
      </c>
      <c r="G32" s="81" t="str">
        <f t="shared" si="1"/>
        <v>0.00</v>
      </c>
      <c r="H32" s="85">
        <v>1000</v>
      </c>
      <c r="I32" s="86">
        <v>9750</v>
      </c>
      <c r="K32" s="87" t="s">
        <v>208</v>
      </c>
      <c r="L32" s="85">
        <v>46</v>
      </c>
      <c r="M32" s="88">
        <v>0.17</v>
      </c>
      <c r="O32" s="107"/>
      <c r="Q32" s="108" t="s">
        <v>13</v>
      </c>
      <c r="R32" s="153" t="s">
        <v>13</v>
      </c>
      <c r="S32" s="109" t="s">
        <v>13</v>
      </c>
      <c r="U32" s="93">
        <v>7.3</v>
      </c>
      <c r="V32" s="94">
        <v>7.2</v>
      </c>
      <c r="W32" s="95">
        <v>7.1</v>
      </c>
      <c r="Y32" s="90">
        <v>17</v>
      </c>
      <c r="Z32" s="96">
        <v>17</v>
      </c>
      <c r="AA32" s="92">
        <v>17</v>
      </c>
      <c r="AC32" s="93">
        <v>11</v>
      </c>
      <c r="AD32" s="91">
        <v>0.01</v>
      </c>
      <c r="AE32" s="97">
        <v>0</v>
      </c>
      <c r="AG32" s="45">
        <f t="shared" si="2"/>
        <v>21</v>
      </c>
      <c r="AI32" s="98"/>
      <c r="AJ32" s="55">
        <f t="shared" si="3"/>
      </c>
      <c r="AK32" s="98"/>
      <c r="AL32" s="55">
        <f t="shared" si="4"/>
      </c>
      <c r="AM32" s="98"/>
      <c r="AN32" s="55">
        <f t="shared" si="5"/>
      </c>
      <c r="AO32" s="110"/>
      <c r="AQ32" s="100"/>
      <c r="AR32" s="55">
        <f t="shared" si="6"/>
      </c>
      <c r="AS32" s="98"/>
      <c r="AT32" s="55">
        <f t="shared" si="7"/>
      </c>
      <c r="AU32" s="98"/>
      <c r="AV32" s="55">
        <f t="shared" si="8"/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5">
        <v>2207145</v>
      </c>
      <c r="D33" s="138">
        <f t="shared" si="0"/>
        <v>2.471</v>
      </c>
      <c r="E33" s="140">
        <v>3.8</v>
      </c>
      <c r="F33" s="141">
        <v>0.6</v>
      </c>
      <c r="G33" s="81" t="str">
        <f t="shared" si="1"/>
        <v>0.00</v>
      </c>
      <c r="H33" s="85">
        <v>1300</v>
      </c>
      <c r="I33" s="86">
        <v>8250</v>
      </c>
      <c r="K33" s="87" t="s">
        <v>208</v>
      </c>
      <c r="L33" s="85">
        <v>38</v>
      </c>
      <c r="M33" s="88">
        <v>0</v>
      </c>
      <c r="O33" s="107"/>
      <c r="Q33" s="108"/>
      <c r="R33" s="153"/>
      <c r="S33" s="109"/>
      <c r="U33" s="93">
        <v>7.2</v>
      </c>
      <c r="V33" s="94">
        <v>7.1</v>
      </c>
      <c r="W33" s="95">
        <v>6.9</v>
      </c>
      <c r="Y33" s="90">
        <v>17</v>
      </c>
      <c r="Z33" s="96">
        <v>16</v>
      </c>
      <c r="AA33" s="92">
        <v>16</v>
      </c>
      <c r="AC33" s="93">
        <v>4.5</v>
      </c>
      <c r="AD33" s="91">
        <v>0.01</v>
      </c>
      <c r="AE33" s="97">
        <v>0</v>
      </c>
      <c r="AG33" s="45">
        <f t="shared" si="2"/>
        <v>22</v>
      </c>
      <c r="AI33" s="98">
        <v>326</v>
      </c>
      <c r="AJ33" s="55">
        <f t="shared" si="3"/>
        <v>6718.25364</v>
      </c>
      <c r="AK33" s="98"/>
      <c r="AL33" s="55">
        <f t="shared" si="4"/>
      </c>
      <c r="AM33" s="98">
        <v>17</v>
      </c>
      <c r="AN33" s="55">
        <f t="shared" si="5"/>
        <v>350.33838000000003</v>
      </c>
      <c r="AO33" s="110">
        <v>11</v>
      </c>
      <c r="AQ33" s="100">
        <v>360</v>
      </c>
      <c r="AR33" s="55">
        <f t="shared" si="6"/>
        <v>7418.9304</v>
      </c>
      <c r="AS33" s="98"/>
      <c r="AT33" s="55">
        <f t="shared" si="7"/>
      </c>
      <c r="AU33" s="98">
        <v>22</v>
      </c>
      <c r="AV33" s="55">
        <f t="shared" si="8"/>
        <v>453.37908</v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274">
        <f>(D47)</f>
        <v>2.499548387096774</v>
      </c>
      <c r="BR33" s="274">
        <f>(D45)</f>
        <v>4.034</v>
      </c>
      <c r="BS33" s="26" t="s">
        <v>127</v>
      </c>
      <c r="BT33" s="26"/>
      <c r="BU33" s="272" t="s">
        <v>150</v>
      </c>
      <c r="BV33" s="272" t="s">
        <v>150</v>
      </c>
      <c r="BW33" s="272" t="s">
        <v>150</v>
      </c>
      <c r="BX33" s="272" t="s">
        <v>150</v>
      </c>
      <c r="BY33" s="26"/>
      <c r="BZ33" s="26">
        <v>0</v>
      </c>
      <c r="CA33" s="75" t="s">
        <v>24</v>
      </c>
      <c r="CB33" s="26" t="s">
        <v>25</v>
      </c>
      <c r="CC33" s="137"/>
      <c r="CJ33" s="326" t="s">
        <v>17</v>
      </c>
      <c r="CK33" s="328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5">
        <v>2209617</v>
      </c>
      <c r="D34" s="138">
        <f t="shared" si="0"/>
        <v>2.472</v>
      </c>
      <c r="E34" s="140">
        <v>3.8</v>
      </c>
      <c r="F34" s="141">
        <v>0.6</v>
      </c>
      <c r="G34" s="81" t="str">
        <f t="shared" si="1"/>
        <v>0.00</v>
      </c>
      <c r="H34" s="85">
        <v>7800</v>
      </c>
      <c r="I34" s="86">
        <v>8000</v>
      </c>
      <c r="K34" s="87" t="s">
        <v>208</v>
      </c>
      <c r="L34" s="85">
        <v>36</v>
      </c>
      <c r="M34" s="88">
        <v>0.16</v>
      </c>
      <c r="O34" s="107"/>
      <c r="Q34" s="108" t="s">
        <v>14</v>
      </c>
      <c r="R34" s="153" t="s">
        <v>14</v>
      </c>
      <c r="S34" s="109" t="s">
        <v>14</v>
      </c>
      <c r="U34" s="93">
        <v>7.3</v>
      </c>
      <c r="V34" s="94">
        <v>7.1</v>
      </c>
      <c r="W34" s="95">
        <v>6.8</v>
      </c>
      <c r="Y34" s="90">
        <v>17</v>
      </c>
      <c r="Z34" s="96">
        <v>16</v>
      </c>
      <c r="AA34" s="92">
        <v>15</v>
      </c>
      <c r="AC34" s="93">
        <v>9.5</v>
      </c>
      <c r="AD34" s="91">
        <v>0.01</v>
      </c>
      <c r="AE34" s="97">
        <v>0</v>
      </c>
      <c r="AG34" s="45">
        <f t="shared" si="2"/>
        <v>23</v>
      </c>
      <c r="AI34" s="98">
        <v>290</v>
      </c>
      <c r="AJ34" s="55">
        <f t="shared" si="3"/>
        <v>5978.7792</v>
      </c>
      <c r="AK34" s="98"/>
      <c r="AL34" s="55">
        <f t="shared" si="4"/>
      </c>
      <c r="AM34" s="98">
        <v>14</v>
      </c>
      <c r="AN34" s="55">
        <f t="shared" si="5"/>
        <v>288.63072</v>
      </c>
      <c r="AO34" s="110">
        <v>8</v>
      </c>
      <c r="AQ34" s="100">
        <v>370</v>
      </c>
      <c r="AR34" s="55">
        <f t="shared" si="6"/>
        <v>7628.0976</v>
      </c>
      <c r="AS34" s="98"/>
      <c r="AT34" s="55">
        <f t="shared" si="7"/>
      </c>
      <c r="AU34" s="98">
        <v>20</v>
      </c>
      <c r="AV34" s="55">
        <f t="shared" si="8"/>
        <v>412.32959999999997</v>
      </c>
      <c r="AX34" s="100">
        <v>47930</v>
      </c>
      <c r="AY34" s="101">
        <v>3</v>
      </c>
      <c r="AZ34" s="102">
        <v>2.25</v>
      </c>
      <c r="BA34" s="98">
        <v>31</v>
      </c>
      <c r="BB34" s="102">
        <v>26</v>
      </c>
      <c r="BC34" s="98">
        <v>24</v>
      </c>
      <c r="BD34" s="98"/>
      <c r="BE34" s="103"/>
      <c r="BG34" s="100">
        <v>24</v>
      </c>
      <c r="BH34" s="84" t="s">
        <v>212</v>
      </c>
      <c r="BI34" s="104" t="s">
        <v>211</v>
      </c>
      <c r="BK34" s="17"/>
      <c r="BL34" s="19"/>
      <c r="BM34" s="26" t="s">
        <v>86</v>
      </c>
      <c r="BN34" s="20"/>
      <c r="BO34" s="154" t="s">
        <v>131</v>
      </c>
      <c r="BP34" s="26"/>
      <c r="BQ34" s="275">
        <v>3.85</v>
      </c>
      <c r="BR34" s="155" t="s">
        <v>146</v>
      </c>
      <c r="BS34" s="155" t="s">
        <v>127</v>
      </c>
      <c r="BT34" s="26"/>
      <c r="BU34" s="270" t="s">
        <v>150</v>
      </c>
      <c r="BV34" s="270" t="s">
        <v>150</v>
      </c>
      <c r="BW34" s="270" t="s">
        <v>150</v>
      </c>
      <c r="BX34" s="270" t="s">
        <v>150</v>
      </c>
      <c r="BY34" s="26"/>
      <c r="BZ34" s="270" t="s">
        <v>150</v>
      </c>
      <c r="CA34" s="276" t="s">
        <v>24</v>
      </c>
      <c r="CB34" s="155" t="s">
        <v>25</v>
      </c>
      <c r="CC34" s="137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5">
        <v>2212085</v>
      </c>
      <c r="D35" s="138">
        <f t="shared" si="0"/>
        <v>2.468</v>
      </c>
      <c r="E35" s="140">
        <v>4.2</v>
      </c>
      <c r="F35" s="141">
        <v>0.6</v>
      </c>
      <c r="G35" s="81" t="str">
        <f t="shared" si="1"/>
        <v>0.00</v>
      </c>
      <c r="H35" s="85">
        <v>2000</v>
      </c>
      <c r="I35" s="86">
        <v>6000</v>
      </c>
      <c r="K35" s="87" t="s">
        <v>208</v>
      </c>
      <c r="L35" s="85">
        <v>37</v>
      </c>
      <c r="M35" s="88">
        <v>0.01</v>
      </c>
      <c r="O35" s="107"/>
      <c r="Q35" s="108"/>
      <c r="R35" s="153"/>
      <c r="S35" s="109"/>
      <c r="U35" s="93">
        <v>7.1</v>
      </c>
      <c r="V35" s="94">
        <v>7.1</v>
      </c>
      <c r="W35" s="95">
        <v>6.9</v>
      </c>
      <c r="Y35" s="90">
        <v>16</v>
      </c>
      <c r="Z35" s="96">
        <v>16</v>
      </c>
      <c r="AA35" s="92">
        <v>15</v>
      </c>
      <c r="AC35" s="93">
        <v>5</v>
      </c>
      <c r="AD35" s="91">
        <v>0.01</v>
      </c>
      <c r="AE35" s="97">
        <v>0</v>
      </c>
      <c r="AG35" s="45">
        <f t="shared" si="2"/>
        <v>24</v>
      </c>
      <c r="AI35" s="98">
        <v>276</v>
      </c>
      <c r="AJ35" s="55">
        <f t="shared" si="3"/>
        <v>5680.94112</v>
      </c>
      <c r="AK35" s="98">
        <v>172</v>
      </c>
      <c r="AL35" s="55">
        <f t="shared" si="4"/>
        <v>3540.2966399999996</v>
      </c>
      <c r="AM35" s="98">
        <v>15</v>
      </c>
      <c r="AN35" s="55">
        <f t="shared" si="5"/>
        <v>308.74679999999995</v>
      </c>
      <c r="AO35" s="110">
        <v>10</v>
      </c>
      <c r="AQ35" s="100">
        <v>314</v>
      </c>
      <c r="AR35" s="55">
        <f t="shared" si="6"/>
        <v>6463.09968</v>
      </c>
      <c r="AS35" s="98">
        <v>87</v>
      </c>
      <c r="AT35" s="55">
        <f t="shared" si="7"/>
        <v>1790.73144</v>
      </c>
      <c r="AU35" s="98">
        <v>22</v>
      </c>
      <c r="AV35" s="55">
        <f t="shared" si="8"/>
        <v>452.82864</v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3">
        <v>2214483</v>
      </c>
      <c r="D36" s="139">
        <f t="shared" si="0"/>
        <v>2.398</v>
      </c>
      <c r="E36" s="142">
        <v>4</v>
      </c>
      <c r="F36" s="143">
        <v>0.6</v>
      </c>
      <c r="G36" s="184" t="str">
        <f t="shared" si="1"/>
        <v>0.00</v>
      </c>
      <c r="H36" s="113">
        <v>500</v>
      </c>
      <c r="I36" s="114">
        <v>3000</v>
      </c>
      <c r="K36" s="115" t="s">
        <v>208</v>
      </c>
      <c r="L36" s="113">
        <v>41</v>
      </c>
      <c r="M36" s="116">
        <v>0</v>
      </c>
      <c r="O36" s="117"/>
      <c r="Q36" s="108" t="s">
        <v>12</v>
      </c>
      <c r="R36" s="153" t="s">
        <v>12</v>
      </c>
      <c r="S36" s="109" t="s">
        <v>12</v>
      </c>
      <c r="U36" s="118">
        <v>7.1</v>
      </c>
      <c r="V36" s="119">
        <v>7.1</v>
      </c>
      <c r="W36" s="120">
        <v>6.7</v>
      </c>
      <c r="Y36" s="121">
        <v>16</v>
      </c>
      <c r="Z36" s="122">
        <v>15</v>
      </c>
      <c r="AA36" s="123">
        <v>15</v>
      </c>
      <c r="AC36" s="118">
        <v>5</v>
      </c>
      <c r="AD36" s="124">
        <v>0.01</v>
      </c>
      <c r="AE36" s="125">
        <v>0</v>
      </c>
      <c r="AG36" s="45">
        <f t="shared" si="2"/>
        <v>25</v>
      </c>
      <c r="AI36" s="126"/>
      <c r="AJ36" s="65">
        <f t="shared" si="3"/>
      </c>
      <c r="AK36" s="126"/>
      <c r="AL36" s="65">
        <f t="shared" si="4"/>
      </c>
      <c r="AM36" s="126"/>
      <c r="AN36" s="65">
        <f t="shared" si="5"/>
      </c>
      <c r="AO36" s="127"/>
      <c r="AQ36" s="128"/>
      <c r="AR36" s="65">
        <f t="shared" si="6"/>
      </c>
      <c r="AS36" s="126"/>
      <c r="AT36" s="65">
        <f t="shared" si="7"/>
      </c>
      <c r="AU36" s="126"/>
      <c r="AV36" s="65">
        <f t="shared" si="8"/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5">
        <v>2216808</v>
      </c>
      <c r="D37" s="138">
        <f t="shared" si="0"/>
        <v>2.325</v>
      </c>
      <c r="E37" s="140">
        <v>3.6</v>
      </c>
      <c r="F37" s="141">
        <v>0.6</v>
      </c>
      <c r="G37" s="81" t="str">
        <f t="shared" si="1"/>
        <v>0.00</v>
      </c>
      <c r="H37" s="85">
        <v>0</v>
      </c>
      <c r="I37" s="86">
        <v>0</v>
      </c>
      <c r="K37" s="87" t="s">
        <v>213</v>
      </c>
      <c r="L37" s="85">
        <v>54</v>
      </c>
      <c r="M37" s="88">
        <v>0.02</v>
      </c>
      <c r="O37" s="107"/>
      <c r="Q37" s="108"/>
      <c r="R37" s="153"/>
      <c r="S37" s="109"/>
      <c r="U37" s="93">
        <v>7.1</v>
      </c>
      <c r="V37" s="94">
        <v>7</v>
      </c>
      <c r="W37" s="95">
        <v>6.8</v>
      </c>
      <c r="Y37" s="90">
        <v>16</v>
      </c>
      <c r="Z37" s="96">
        <v>16</v>
      </c>
      <c r="AA37" s="92">
        <v>16</v>
      </c>
      <c r="AC37" s="93">
        <v>7</v>
      </c>
      <c r="AD37" s="91">
        <v>0.2</v>
      </c>
      <c r="AE37" s="97">
        <v>0</v>
      </c>
      <c r="AG37" s="45">
        <f t="shared" si="2"/>
        <v>26</v>
      </c>
      <c r="AI37" s="98"/>
      <c r="AJ37" s="55">
        <f t="shared" si="3"/>
      </c>
      <c r="AK37" s="98"/>
      <c r="AL37" s="55">
        <f t="shared" si="4"/>
      </c>
      <c r="AM37" s="98"/>
      <c r="AN37" s="55">
        <f t="shared" si="5"/>
      </c>
      <c r="AO37" s="110"/>
      <c r="AQ37" s="100"/>
      <c r="AR37" s="55">
        <f t="shared" si="6"/>
      </c>
      <c r="AS37" s="98"/>
      <c r="AT37" s="55">
        <f t="shared" si="7"/>
      </c>
      <c r="AU37" s="98"/>
      <c r="AV37" s="55">
        <f t="shared" si="8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6">
        <f>(IF(((SUM(AJ12:AJ42))=0)," ",(((AJ47-(D47*AO47*8.346))/AJ47)*100)))</f>
        <v>96.3133601257489</v>
      </c>
      <c r="CK37" s="3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5">
        <v>2219231</v>
      </c>
      <c r="D38" s="138">
        <f t="shared" si="0"/>
        <v>2.423</v>
      </c>
      <c r="E38" s="140">
        <v>4.2</v>
      </c>
      <c r="F38" s="141">
        <v>0.8</v>
      </c>
      <c r="G38" s="81" t="str">
        <f t="shared" si="1"/>
        <v>0.00</v>
      </c>
      <c r="H38" s="85">
        <v>3200</v>
      </c>
      <c r="I38" s="86">
        <v>6500</v>
      </c>
      <c r="K38" s="87" t="s">
        <v>213</v>
      </c>
      <c r="L38" s="85">
        <v>57</v>
      </c>
      <c r="M38" s="88">
        <v>1.41</v>
      </c>
      <c r="O38" s="107"/>
      <c r="Q38" s="108" t="s">
        <v>10</v>
      </c>
      <c r="R38" s="153" t="s">
        <v>10</v>
      </c>
      <c r="S38" s="109" t="s">
        <v>10</v>
      </c>
      <c r="U38" s="93">
        <v>7.2</v>
      </c>
      <c r="V38" s="94">
        <v>7</v>
      </c>
      <c r="W38" s="95">
        <v>6.8</v>
      </c>
      <c r="Y38" s="90">
        <v>16</v>
      </c>
      <c r="Z38" s="96">
        <v>16</v>
      </c>
      <c r="AA38" s="92">
        <v>17</v>
      </c>
      <c r="AC38" s="93">
        <v>8</v>
      </c>
      <c r="AD38" s="91">
        <v>0.01</v>
      </c>
      <c r="AE38" s="97">
        <v>0</v>
      </c>
      <c r="AG38" s="45">
        <f t="shared" si="2"/>
        <v>27</v>
      </c>
      <c r="AI38" s="98"/>
      <c r="AJ38" s="55">
        <f t="shared" si="3"/>
      </c>
      <c r="AK38" s="98"/>
      <c r="AL38" s="55">
        <f t="shared" si="4"/>
      </c>
      <c r="AM38" s="98"/>
      <c r="AN38" s="55">
        <f t="shared" si="5"/>
      </c>
      <c r="AO38" s="110"/>
      <c r="AQ38" s="100"/>
      <c r="AR38" s="55">
        <f t="shared" si="6"/>
      </c>
      <c r="AS38" s="98"/>
      <c r="AT38" s="55">
        <f t="shared" si="7"/>
      </c>
      <c r="AU38" s="98"/>
      <c r="AV38" s="55">
        <f t="shared" si="8"/>
      </c>
      <c r="AX38" s="100">
        <v>56224</v>
      </c>
      <c r="AY38" s="101">
        <v>3</v>
      </c>
      <c r="AZ38" s="102">
        <v>3.75</v>
      </c>
      <c r="BA38" s="98">
        <v>34.1</v>
      </c>
      <c r="BB38" s="102">
        <v>27</v>
      </c>
      <c r="BC38" s="98">
        <v>24</v>
      </c>
      <c r="BD38" s="98"/>
      <c r="BE38" s="103"/>
      <c r="BG38" s="100">
        <v>24</v>
      </c>
      <c r="BH38" s="84" t="s">
        <v>212</v>
      </c>
      <c r="BI38" s="104" t="s">
        <v>211</v>
      </c>
      <c r="BK38" s="17"/>
      <c r="BL38" s="19"/>
      <c r="BM38" s="56" t="s">
        <v>117</v>
      </c>
      <c r="BN38" s="20"/>
      <c r="BO38" s="57" t="s">
        <v>130</v>
      </c>
      <c r="BP38" s="26"/>
      <c r="BQ38" s="272" t="s">
        <v>150</v>
      </c>
      <c r="BR38" s="272" t="s">
        <v>150</v>
      </c>
      <c r="BS38" s="272" t="s">
        <v>150</v>
      </c>
      <c r="BT38" s="26"/>
      <c r="BU38" s="68">
        <f>(AN49)</f>
        <v>94.19434326038065</v>
      </c>
      <c r="BV38" s="272" t="s">
        <v>150</v>
      </c>
      <c r="BW38" s="272" t="s">
        <v>150</v>
      </c>
      <c r="BX38" s="26" t="s">
        <v>129</v>
      </c>
      <c r="BY38" s="26"/>
      <c r="BZ38" s="26">
        <v>0</v>
      </c>
      <c r="CA38" s="267" t="s">
        <v>49</v>
      </c>
      <c r="CB38" s="26" t="s">
        <v>26</v>
      </c>
      <c r="CC38" s="137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5">
        <v>2222094</v>
      </c>
      <c r="D39" s="138">
        <f t="shared" si="0"/>
        <v>2.863</v>
      </c>
      <c r="E39" s="140">
        <v>4</v>
      </c>
      <c r="F39" s="141">
        <v>0.8</v>
      </c>
      <c r="G39" s="81" t="str">
        <f t="shared" si="1"/>
        <v>0.00</v>
      </c>
      <c r="H39" s="85">
        <v>3800</v>
      </c>
      <c r="I39" s="86">
        <v>7250</v>
      </c>
      <c r="K39" s="87" t="s">
        <v>210</v>
      </c>
      <c r="L39" s="85">
        <v>51</v>
      </c>
      <c r="M39" s="88">
        <v>0.02</v>
      </c>
      <c r="O39" s="107"/>
      <c r="Q39" s="108"/>
      <c r="R39" s="153"/>
      <c r="S39" s="109"/>
      <c r="U39" s="93">
        <v>7.4</v>
      </c>
      <c r="V39" s="94">
        <v>7.2</v>
      </c>
      <c r="W39" s="95">
        <v>6.9</v>
      </c>
      <c r="Y39" s="90">
        <v>16</v>
      </c>
      <c r="Z39" s="96">
        <v>16</v>
      </c>
      <c r="AA39" s="92">
        <v>17</v>
      </c>
      <c r="AC39" s="93">
        <v>7.5</v>
      </c>
      <c r="AD39" s="91">
        <v>0.01</v>
      </c>
      <c r="AE39" s="97">
        <v>0</v>
      </c>
      <c r="AG39" s="45">
        <f t="shared" si="2"/>
        <v>28</v>
      </c>
      <c r="AI39" s="98"/>
      <c r="AJ39" s="55">
        <f t="shared" si="3"/>
      </c>
      <c r="AK39" s="98"/>
      <c r="AL39" s="55">
        <f t="shared" si="4"/>
      </c>
      <c r="AM39" s="98"/>
      <c r="AN39" s="55">
        <f t="shared" si="5"/>
      </c>
      <c r="AO39" s="110"/>
      <c r="AQ39" s="100"/>
      <c r="AR39" s="55">
        <f t="shared" si="6"/>
      </c>
      <c r="AS39" s="98"/>
      <c r="AT39" s="55">
        <f t="shared" si="7"/>
      </c>
      <c r="AU39" s="98"/>
      <c r="AV39" s="55">
        <f t="shared" si="8"/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70" t="s">
        <v>150</v>
      </c>
      <c r="BR39" s="270" t="s">
        <v>150</v>
      </c>
      <c r="BS39" s="270" t="s">
        <v>150</v>
      </c>
      <c r="BT39" s="26"/>
      <c r="BU39" s="273">
        <v>85</v>
      </c>
      <c r="BV39" s="270" t="s">
        <v>150</v>
      </c>
      <c r="BW39" s="270" t="s">
        <v>150</v>
      </c>
      <c r="BX39" s="155" t="s">
        <v>129</v>
      </c>
      <c r="BY39" s="26"/>
      <c r="BZ39" s="270" t="s">
        <v>150</v>
      </c>
      <c r="CA39" s="271" t="s">
        <v>49</v>
      </c>
      <c r="CB39" s="155" t="s">
        <v>26</v>
      </c>
      <c r="CC39" s="137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5">
        <v>2224941</v>
      </c>
      <c r="D40" s="138">
        <f t="shared" si="0"/>
        <v>2.847</v>
      </c>
      <c r="E40" s="140">
        <v>6.4</v>
      </c>
      <c r="F40" s="141">
        <v>1.5</v>
      </c>
      <c r="G40" s="81" t="str">
        <f t="shared" si="1"/>
        <v>0.00</v>
      </c>
      <c r="H40" s="85">
        <v>2150</v>
      </c>
      <c r="I40" s="86">
        <v>6000</v>
      </c>
      <c r="K40" s="87" t="s">
        <v>213</v>
      </c>
      <c r="L40" s="85">
        <v>53</v>
      </c>
      <c r="M40" s="88">
        <v>1.78</v>
      </c>
      <c r="O40" s="107"/>
      <c r="Q40" s="108" t="s">
        <v>15</v>
      </c>
      <c r="R40" s="153" t="s">
        <v>15</v>
      </c>
      <c r="S40" s="109" t="s">
        <v>15</v>
      </c>
      <c r="U40" s="93">
        <v>7.1</v>
      </c>
      <c r="V40" s="94">
        <v>7</v>
      </c>
      <c r="W40" s="95">
        <v>6.5</v>
      </c>
      <c r="Y40" s="90">
        <v>16</v>
      </c>
      <c r="Z40" s="96">
        <v>15</v>
      </c>
      <c r="AA40" s="92">
        <v>16</v>
      </c>
      <c r="AC40" s="93">
        <v>6.5</v>
      </c>
      <c r="AD40" s="91">
        <v>0.01</v>
      </c>
      <c r="AE40" s="97">
        <v>0.01</v>
      </c>
      <c r="AG40" s="45">
        <f t="shared" si="2"/>
        <v>29</v>
      </c>
      <c r="AI40" s="98">
        <v>244</v>
      </c>
      <c r="AJ40" s="55">
        <f t="shared" si="3"/>
        <v>5793.53112</v>
      </c>
      <c r="AK40" s="98"/>
      <c r="AL40" s="55">
        <f t="shared" si="4"/>
      </c>
      <c r="AM40" s="98">
        <v>15</v>
      </c>
      <c r="AN40" s="55">
        <f t="shared" si="5"/>
        <v>356.1597</v>
      </c>
      <c r="AO40" s="110">
        <v>11</v>
      </c>
      <c r="AQ40" s="100">
        <v>258</v>
      </c>
      <c r="AR40" s="55">
        <f t="shared" si="6"/>
        <v>6125.94684</v>
      </c>
      <c r="AS40" s="98"/>
      <c r="AT40" s="55">
        <f t="shared" si="7"/>
      </c>
      <c r="AU40" s="98">
        <v>22</v>
      </c>
      <c r="AV40" s="55">
        <f t="shared" si="8"/>
        <v>522.36756</v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5">
        <v>2228975</v>
      </c>
      <c r="D41" s="138">
        <f t="shared" si="0"/>
        <v>4.034</v>
      </c>
      <c r="E41" s="140">
        <v>4.2</v>
      </c>
      <c r="F41" s="141">
        <v>1</v>
      </c>
      <c r="G41" s="81" t="str">
        <f t="shared" si="1"/>
        <v>0.00</v>
      </c>
      <c r="H41" s="85">
        <v>1650</v>
      </c>
      <c r="I41" s="86">
        <v>9750</v>
      </c>
      <c r="K41" s="87" t="s">
        <v>210</v>
      </c>
      <c r="L41" s="85">
        <v>50</v>
      </c>
      <c r="M41" s="88">
        <v>0</v>
      </c>
      <c r="O41" s="107"/>
      <c r="Q41" s="108"/>
      <c r="R41" s="153"/>
      <c r="S41" s="109"/>
      <c r="U41" s="93">
        <v>7.1</v>
      </c>
      <c r="V41" s="94">
        <v>7</v>
      </c>
      <c r="W41" s="95">
        <v>6.6</v>
      </c>
      <c r="Y41" s="90">
        <v>15</v>
      </c>
      <c r="Z41" s="96">
        <v>15</v>
      </c>
      <c r="AA41" s="92">
        <v>16</v>
      </c>
      <c r="AC41" s="93">
        <v>6</v>
      </c>
      <c r="AD41" s="91">
        <v>0.01</v>
      </c>
      <c r="AE41" s="97">
        <v>0</v>
      </c>
      <c r="AG41" s="45">
        <f t="shared" si="2"/>
        <v>30</v>
      </c>
      <c r="AI41" s="98">
        <v>146</v>
      </c>
      <c r="AJ41" s="55">
        <f t="shared" si="3"/>
        <v>4911.95976</v>
      </c>
      <c r="AK41" s="98"/>
      <c r="AL41" s="55">
        <f t="shared" si="4"/>
      </c>
      <c r="AM41" s="98">
        <v>12</v>
      </c>
      <c r="AN41" s="55">
        <f t="shared" si="5"/>
        <v>403.72272</v>
      </c>
      <c r="AO41" s="110">
        <v>10</v>
      </c>
      <c r="AQ41" s="100">
        <v>52</v>
      </c>
      <c r="AR41" s="55">
        <f t="shared" si="6"/>
        <v>1749.46512</v>
      </c>
      <c r="AS41" s="98"/>
      <c r="AT41" s="55">
        <f t="shared" si="7"/>
      </c>
      <c r="AU41" s="98">
        <v>22</v>
      </c>
      <c r="AV41" s="55">
        <f t="shared" si="8"/>
        <v>740.1583199999999</v>
      </c>
      <c r="AX41" s="100">
        <v>33448</v>
      </c>
      <c r="AY41" s="101">
        <v>2</v>
      </c>
      <c r="AZ41" s="102">
        <v>2.25</v>
      </c>
      <c r="BA41" s="98">
        <v>21.7</v>
      </c>
      <c r="BB41" s="102">
        <v>30</v>
      </c>
      <c r="BC41" s="98">
        <v>12</v>
      </c>
      <c r="BD41" s="98"/>
      <c r="BE41" s="103"/>
      <c r="BG41" s="100">
        <v>12</v>
      </c>
      <c r="BH41" s="84" t="s">
        <v>212</v>
      </c>
      <c r="BI41" s="104" t="s">
        <v>211</v>
      </c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3">
        <v>2232401</v>
      </c>
      <c r="D42" s="139">
        <f t="shared" si="0"/>
        <v>3.426</v>
      </c>
      <c r="E42" s="142">
        <v>4.4</v>
      </c>
      <c r="F42" s="143">
        <v>1</v>
      </c>
      <c r="G42" s="184" t="str">
        <f t="shared" si="1"/>
        <v>0.00</v>
      </c>
      <c r="H42" s="113">
        <v>4500</v>
      </c>
      <c r="I42" s="114">
        <v>9750</v>
      </c>
      <c r="K42" s="115" t="s">
        <v>210</v>
      </c>
      <c r="L42" s="113">
        <v>48</v>
      </c>
      <c r="M42" s="116">
        <v>0</v>
      </c>
      <c r="O42" s="117"/>
      <c r="Q42" s="133"/>
      <c r="R42" s="112"/>
      <c r="S42" s="114"/>
      <c r="U42" s="134">
        <v>6.9</v>
      </c>
      <c r="V42" s="135">
        <v>6.9</v>
      </c>
      <c r="W42" s="136">
        <v>6.9</v>
      </c>
      <c r="Y42" s="133">
        <v>16</v>
      </c>
      <c r="Z42" s="113">
        <v>15</v>
      </c>
      <c r="AA42" s="114">
        <v>15</v>
      </c>
      <c r="AC42" s="134">
        <v>5</v>
      </c>
      <c r="AD42" s="112">
        <v>0.1</v>
      </c>
      <c r="AE42" s="116">
        <v>0.01</v>
      </c>
      <c r="AG42" s="45">
        <f t="shared" si="2"/>
        <v>31</v>
      </c>
      <c r="AI42" s="126">
        <v>185</v>
      </c>
      <c r="AJ42" s="65">
        <f t="shared" si="3"/>
        <v>5285.9754</v>
      </c>
      <c r="AK42" s="126">
        <v>21</v>
      </c>
      <c r="AL42" s="65">
        <f t="shared" si="4"/>
        <v>600.02964</v>
      </c>
      <c r="AM42" s="126">
        <v>15</v>
      </c>
      <c r="AN42" s="65">
        <f t="shared" si="5"/>
        <v>428.5926</v>
      </c>
      <c r="AO42" s="127">
        <v>12</v>
      </c>
      <c r="AQ42" s="128">
        <v>252</v>
      </c>
      <c r="AR42" s="65">
        <f t="shared" si="6"/>
        <v>7200.355680000001</v>
      </c>
      <c r="AS42" s="126">
        <v>91</v>
      </c>
      <c r="AT42" s="65">
        <f t="shared" si="7"/>
        <v>2600.12844</v>
      </c>
      <c r="AU42" s="126">
        <v>24</v>
      </c>
      <c r="AV42" s="65">
        <f t="shared" si="8"/>
        <v>685.74816</v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2" t="s">
        <v>150</v>
      </c>
      <c r="BR43" s="272" t="s">
        <v>150</v>
      </c>
      <c r="BS43" s="272" t="s">
        <v>150</v>
      </c>
      <c r="BT43" s="26"/>
      <c r="BU43" s="68">
        <f>(AU49)</f>
        <v>91.8194640338505</v>
      </c>
      <c r="BV43" s="272" t="s">
        <v>150</v>
      </c>
      <c r="BW43" s="272" t="s">
        <v>150</v>
      </c>
      <c r="BX43" s="26" t="s">
        <v>129</v>
      </c>
      <c r="BY43" s="26"/>
      <c r="BZ43" s="26">
        <v>0</v>
      </c>
      <c r="CA43" s="267" t="s">
        <v>49</v>
      </c>
      <c r="CB43" s="26" t="s">
        <v>26</v>
      </c>
      <c r="CC43" s="137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9">
        <f>(IF(((SUM(C12:C42))=0)," ",((MAX(C12:C42))-C11)))</f>
        <v>77486</v>
      </c>
      <c r="D44" s="228">
        <f>(IF(((SUM(D12:D42))=0)," ",(SUM(D12:D42))))</f>
        <v>77.48599999999999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66200</v>
      </c>
      <c r="I44" s="196">
        <f>(IF(((SUM(I12:I42))=0)," ",(SUM(I12:I42))))</f>
        <v>197800</v>
      </c>
      <c r="K44" s="200" t="s">
        <v>150</v>
      </c>
      <c r="L44" s="201" t="s">
        <v>150</v>
      </c>
      <c r="M44" s="202">
        <f>(IF(((SUM(M12:M42))=0)," ",(SUM(M11:M42))))</f>
        <v>8.499999999999998</v>
      </c>
      <c r="O44" s="203">
        <f>(IF(((SUM(O12:O42))=0),"0.0",(SUM(O11:O42))))</f>
        <v>10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495402</v>
      </c>
      <c r="AY44" s="201" t="s">
        <v>150</v>
      </c>
      <c r="AZ44" s="212">
        <f>(IF(((SUM(AZ12:AZ42))=0)," ",(SUM(AZ12:AZ42))))</f>
        <v>32.55</v>
      </c>
      <c r="BA44" s="199">
        <f>(IF(((SUM(BA12:BA42))=0)," ",(SUM(BA12:BA42))))</f>
        <v>325.7</v>
      </c>
      <c r="BB44" s="207" t="s">
        <v>150</v>
      </c>
      <c r="BC44" s="199">
        <f>(IF(((SUM(BC12:BC42))=0)," ",(SUM(BC12:BC42))))</f>
        <v>204</v>
      </c>
      <c r="BD44" s="189" t="str">
        <f>(IF(((SUM(BD12:BD42))=0)," ",(SUM(BD12:BD42))))</f>
        <v> </v>
      </c>
      <c r="BE44" s="210" t="s">
        <v>150</v>
      </c>
      <c r="BG44" s="199">
        <f>(IF(((SUM(BG12:BG42))=0)," ",(SUM(BG12:BG42))))</f>
        <v>204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70" t="s">
        <v>150</v>
      </c>
      <c r="BR44" s="270" t="s">
        <v>150</v>
      </c>
      <c r="BS44" s="270" t="s">
        <v>150</v>
      </c>
      <c r="BT44" s="26"/>
      <c r="BU44" s="273">
        <v>85</v>
      </c>
      <c r="BV44" s="270" t="s">
        <v>150</v>
      </c>
      <c r="BW44" s="270" t="s">
        <v>150</v>
      </c>
      <c r="BX44" s="155" t="s">
        <v>129</v>
      </c>
      <c r="BY44" s="26"/>
      <c r="BZ44" s="270" t="s">
        <v>150</v>
      </c>
      <c r="CA44" s="271" t="s">
        <v>49</v>
      </c>
      <c r="CB44" s="155" t="s">
        <v>26</v>
      </c>
      <c r="CC44" s="137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4.034</v>
      </c>
      <c r="E45" s="216">
        <f>(IF((SUM(E12:E42))=0," ",(MAX(E12:E42))))</f>
        <v>6.4</v>
      </c>
      <c r="F45" s="217">
        <f>(IF((SUM(F12:F42))=0," ",(MAX(F12:F42))))</f>
        <v>1.5</v>
      </c>
      <c r="G45" s="216">
        <f>(MAX(G12:G42))</f>
        <v>0</v>
      </c>
      <c r="H45" s="162">
        <f>(IF((SUM(H12:H42))=0," ",(MAX(H12:H42))))</f>
        <v>7800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63</v>
      </c>
      <c r="M45" s="219">
        <f>(IF((SUM(M12:M42))=0," ",(MAX(M12:M42))))</f>
        <v>2.15</v>
      </c>
      <c r="O45" s="220" t="s">
        <v>150</v>
      </c>
      <c r="Q45" s="221" t="s">
        <v>150</v>
      </c>
      <c r="R45" s="184" t="str">
        <f>(IF(((SUM(R12:R42))=0),"-",(MAX(R12:R42))))</f>
        <v>-</v>
      </c>
      <c r="S45" s="163" t="str">
        <f>(IF(((SUM(S12:S42))=0),"-",(MAX(S12:S42))))</f>
        <v>-</v>
      </c>
      <c r="U45" s="222">
        <f>(IF((SUM(U12:U42))=0," ",(MAX(U12:U42))))</f>
        <v>8.1</v>
      </c>
      <c r="V45" s="183">
        <f>(IF((SUM(V12:V42))=0," ",(MAX(V12:V42))))</f>
        <v>7.3</v>
      </c>
      <c r="W45" s="223">
        <f>(IF((SUM(W12:W42))=0," ",(MAX(W12:W42))))</f>
        <v>7.1</v>
      </c>
      <c r="Y45" s="218">
        <f>(IF((SUM(Y12:Y42))=0," ",(MAX(Y12:Y42))))</f>
        <v>19</v>
      </c>
      <c r="Z45" s="162">
        <f>(IF((SUM(Z12:Z42))=0," ",(MAX(Z12:Z42))))</f>
        <v>18</v>
      </c>
      <c r="AA45" s="163">
        <f>(IF((SUM(AA12:AA42))=0," ",(MAX(AA12:AA42))))</f>
        <v>19</v>
      </c>
      <c r="AC45" s="222">
        <f>(IF((SUM(AC12:AC42))=0," ",(MAX(AC12:AC42))))</f>
        <v>21</v>
      </c>
      <c r="AD45" s="184">
        <f>(IF((SUM(AD12:AD42))=0," ",(MAX(AD12:AD42))))</f>
        <v>0.3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363</v>
      </c>
      <c r="AJ45" s="162">
        <f t="shared" si="9"/>
        <v>6723.899820000001</v>
      </c>
      <c r="AK45" s="218">
        <f t="shared" si="9"/>
        <v>205</v>
      </c>
      <c r="AL45" s="163">
        <f t="shared" si="9"/>
        <v>3826.809</v>
      </c>
      <c r="AM45" s="218">
        <f t="shared" si="9"/>
        <v>18</v>
      </c>
      <c r="AN45" s="163">
        <f t="shared" si="9"/>
        <v>449.72616</v>
      </c>
      <c r="AO45" s="224">
        <f t="shared" si="9"/>
        <v>14</v>
      </c>
      <c r="AQ45" s="218">
        <f aca="true" t="shared" si="10" ref="AQ45:AV45">(IF((SUM(AQ12:AQ42))=0," ",(MAX(AQ12:AQ42))))</f>
        <v>432</v>
      </c>
      <c r="AR45" s="163">
        <f t="shared" si="10"/>
        <v>7958.76192</v>
      </c>
      <c r="AS45" s="218">
        <f t="shared" si="10"/>
        <v>106</v>
      </c>
      <c r="AT45" s="163">
        <f t="shared" si="10"/>
        <v>2600.12844</v>
      </c>
      <c r="AU45" s="218">
        <f t="shared" si="10"/>
        <v>28</v>
      </c>
      <c r="AV45" s="163">
        <f t="shared" si="10"/>
        <v>740.1583199999999</v>
      </c>
      <c r="AX45" s="221" t="s">
        <v>150</v>
      </c>
      <c r="AY45" s="183">
        <f>(IF((SUM(AY12:AY42))=0," ",(MAX(AY12:AY42))))</f>
        <v>3</v>
      </c>
      <c r="AZ45" s="225" t="s">
        <v>150</v>
      </c>
      <c r="BA45" s="221" t="s">
        <v>150</v>
      </c>
      <c r="BB45" s="223">
        <f>(IF((SUM(BB12:BB42))=0," ",(MAX(BB12:BB42))))</f>
        <v>30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1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2.117</v>
      </c>
      <c r="E46" s="227">
        <f>(IF((SUM(E12:E42))=0," ",(MIN(E12:E42))))</f>
        <v>3.6</v>
      </c>
      <c r="F46" s="228">
        <f>(IF((SUM(F12:F42))=0," ",(MIN(F12:F42))))</f>
        <v>0.5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36</v>
      </c>
      <c r="M46" s="202">
        <f>(IF((SUM(M12:M42))=0," ",(MIN(M12:M42))))</f>
        <v>0</v>
      </c>
      <c r="O46" s="229" t="s">
        <v>150</v>
      </c>
      <c r="Q46" s="208" t="s">
        <v>150</v>
      </c>
      <c r="R46" s="191" t="str">
        <f>(IF(((SUM(R12:R42))=0),"-",(MIN(R12:R42))))</f>
        <v>-</v>
      </c>
      <c r="S46" s="196" t="str">
        <f>(IF(((SUM(S12:S42))=0),"-",(MIN(S12:S42))))</f>
        <v>-</v>
      </c>
      <c r="U46" s="230">
        <f>(IF((SUM(U12:U42))=0," ",(MIN(U12:U42))))</f>
        <v>6.9</v>
      </c>
      <c r="V46" s="192">
        <f>(IF((SUM(V12:V42))=0," ",(MIN(V12:V42))))</f>
        <v>6.2</v>
      </c>
      <c r="W46" s="212">
        <f>(IF((SUM(W12:W42))=0," ",(MIN(W12:W42))))</f>
        <v>6.3</v>
      </c>
      <c r="Y46" s="199">
        <f aca="true" t="shared" si="11" ref="Y46:AD46">(IF((SUM(Y12:Y42))=0," ",(MIN(Y12:Y42))))</f>
        <v>15</v>
      </c>
      <c r="Z46" s="189">
        <f t="shared" si="11"/>
        <v>15</v>
      </c>
      <c r="AA46" s="196">
        <f t="shared" si="11"/>
        <v>15</v>
      </c>
      <c r="AB46" s="265" t="str">
        <f t="shared" si="11"/>
        <v> </v>
      </c>
      <c r="AC46" s="230">
        <f t="shared" si="11"/>
        <v>3.5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146</v>
      </c>
      <c r="AJ46" s="189">
        <f t="shared" si="12"/>
        <v>3915.2630400000003</v>
      </c>
      <c r="AK46" s="199">
        <f t="shared" si="12"/>
        <v>21</v>
      </c>
      <c r="AL46" s="196">
        <f t="shared" si="12"/>
        <v>600.02964</v>
      </c>
      <c r="AM46" s="199">
        <f t="shared" si="12"/>
        <v>12</v>
      </c>
      <c r="AN46" s="196">
        <f t="shared" si="12"/>
        <v>263.17704</v>
      </c>
      <c r="AO46" s="231">
        <f t="shared" si="12"/>
        <v>7</v>
      </c>
      <c r="AQ46" s="199">
        <f aca="true" t="shared" si="13" ref="AQ46:AV46">(IF((SUM(AQ12:AQ42))=0," ",(MIN(AQ12:AQ42))))</f>
        <v>52</v>
      </c>
      <c r="AR46" s="196">
        <f t="shared" si="13"/>
        <v>1749.46512</v>
      </c>
      <c r="AS46" s="199">
        <f t="shared" si="13"/>
        <v>84</v>
      </c>
      <c r="AT46" s="196">
        <f t="shared" si="13"/>
        <v>1691.8524</v>
      </c>
      <c r="AU46" s="199">
        <f t="shared" si="13"/>
        <v>15</v>
      </c>
      <c r="AV46" s="196">
        <f t="shared" si="13"/>
        <v>339.77160000000003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08" t="s">
        <v>150</v>
      </c>
      <c r="BH46" s="214" t="s">
        <v>150</v>
      </c>
      <c r="BI46" s="215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2.499548387096774</v>
      </c>
      <c r="E47" s="216">
        <f>(IF((SUM(E12:E42))=0," ",(AVERAGE(E12:E42))))</f>
        <v>4.106451612903225</v>
      </c>
      <c r="F47" s="217">
        <f>(IF((SUM(F12:F42))=0," ",(AVERAGE(F12:F42))))</f>
        <v>0.6838709677419355</v>
      </c>
      <c r="G47" s="216" t="str">
        <f>(IF((SUM(G12:G42))=0,"0.000",(AVERAGE(G12:G42))))</f>
        <v>0.000</v>
      </c>
      <c r="H47" s="162">
        <f>(IF((SUM(H12:H42))=0," ",(AVERAGE(H12:H42))))</f>
        <v>2135.483870967742</v>
      </c>
      <c r="I47" s="163">
        <f>(IF((SUM(I12:I42))=0," ",(AVERAGE(I12:I42))))</f>
        <v>6380.645161290323</v>
      </c>
      <c r="K47" s="180" t="s">
        <v>150</v>
      </c>
      <c r="L47" s="183">
        <f>(IF((SUM(L12:L42))=0," ",(AVERAGE(L12:L42))))</f>
        <v>48.32258064516129</v>
      </c>
      <c r="M47" s="219">
        <f>(IF((SUM(M12:M42))=0," ",(AVERAGE(M12:M42))))</f>
        <v>0.2741935483870967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7.187096774193549</v>
      </c>
      <c r="V47" s="183">
        <f>(IF((SUM(V12:V42))=0," ",(AVERAGE(V12:V42))))</f>
        <v>7.0129032258064505</v>
      </c>
      <c r="W47" s="223">
        <f>(IF((SUM(W12:W42))=0," ",(AVERAGE(W12:W42))))</f>
        <v>6.790322580645163</v>
      </c>
      <c r="Y47" s="218">
        <f>(IF((SUM(Y12:Y42))=0," ",(AVERAGE(Y12:Y42))))</f>
        <v>17.06451612903226</v>
      </c>
      <c r="Z47" s="162">
        <f>(IF((SUM(Z12:Z42))=0," ",(AVERAGE(Z12:Z42))))</f>
        <v>16.612903225806452</v>
      </c>
      <c r="AA47" s="163">
        <f>(IF((SUM(AA12:AA42))=0," ",(AVERAGE(AA12:AA42))))</f>
        <v>16.93548387096774</v>
      </c>
      <c r="AC47" s="222">
        <f>(IF((SUM(AC12:AC42))=0," ",(AVERAGE(AC12:AC42))))</f>
        <v>7.225806451612903</v>
      </c>
      <c r="AD47" s="184">
        <f>(IF((SUM(AD12:AD42))=0," ",(AVERAGE(AD12:AD42))))</f>
        <v>0.04870967741935485</v>
      </c>
      <c r="AE47" s="219">
        <f>(IF((COUNT(AE12:AE42))=0," ",(AVERAGE(AE12:AE42))))</f>
        <v>0.0025806451612903226</v>
      </c>
      <c r="AG47" s="26" t="str">
        <f>($A47)</f>
        <v>Average</v>
      </c>
      <c r="AI47" s="162">
        <f aca="true" t="shared" si="14" ref="AI47:AO47">(IF((SUM(AI12:AI42))=0," ",(AVERAGE(AI12:AI42))))</f>
        <v>277.8</v>
      </c>
      <c r="AJ47" s="162">
        <f t="shared" si="14"/>
        <v>5847.222927999999</v>
      </c>
      <c r="AK47" s="218">
        <f t="shared" si="14"/>
        <v>145.6</v>
      </c>
      <c r="AL47" s="163">
        <f t="shared" si="14"/>
        <v>2989.1677560000003</v>
      </c>
      <c r="AM47" s="218">
        <f t="shared" si="14"/>
        <v>15.6</v>
      </c>
      <c r="AN47" s="163">
        <f t="shared" si="14"/>
        <v>339.46969199999995</v>
      </c>
      <c r="AO47" s="224">
        <f t="shared" si="14"/>
        <v>10.333333333333334</v>
      </c>
      <c r="AQ47" s="218">
        <f aca="true" t="shared" si="15" ref="AQ47:AV47">(IF((SUM(AQ12:AQ42))=0," ",(AVERAGE(AQ12:AQ42))))</f>
        <v>283.6</v>
      </c>
      <c r="AR47" s="163">
        <f t="shared" si="15"/>
        <v>5905.046928</v>
      </c>
      <c r="AS47" s="218">
        <f t="shared" si="15"/>
        <v>91.8</v>
      </c>
      <c r="AT47" s="163">
        <f t="shared" si="15"/>
        <v>2022.5500800000002</v>
      </c>
      <c r="AU47" s="218">
        <f t="shared" si="15"/>
        <v>23.2</v>
      </c>
      <c r="AV47" s="163">
        <f t="shared" si="15"/>
        <v>505.9194119999999</v>
      </c>
      <c r="AX47" s="218">
        <f aca="true" t="shared" si="16" ref="AX47:BE47">(IF((SUM(AX12:AX42))=0," ",(AVERAGE(AX12:AX42))))</f>
        <v>45036.545454545456</v>
      </c>
      <c r="AY47" s="183">
        <f t="shared" si="16"/>
        <v>2.6363636363636362</v>
      </c>
      <c r="AZ47" s="223">
        <f t="shared" si="16"/>
        <v>2.959090909090909</v>
      </c>
      <c r="BA47" s="218">
        <f t="shared" si="16"/>
        <v>29.60909090909091</v>
      </c>
      <c r="BB47" s="223">
        <f t="shared" si="16"/>
        <v>28.181818181818183</v>
      </c>
      <c r="BC47" s="218">
        <f t="shared" si="16"/>
        <v>18.545454545454547</v>
      </c>
      <c r="BD47" s="162" t="str">
        <f t="shared" si="16"/>
        <v> </v>
      </c>
      <c r="BE47" s="219" t="str">
        <f t="shared" si="16"/>
        <v> </v>
      </c>
      <c r="BG47" s="218">
        <f>(IF((SUM(BG12:BG42))=0," ",(AVERAGE(BG12:BG42))))</f>
        <v>18.545454545454547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7" t="s">
        <v>203</v>
      </c>
      <c r="BR48" s="272" t="s">
        <v>150</v>
      </c>
      <c r="BS48" s="277" t="s">
        <v>203</v>
      </c>
      <c r="BT48" s="26"/>
      <c r="BU48" s="272" t="s">
        <v>150</v>
      </c>
      <c r="BV48" s="58" t="str">
        <f>(S49)</f>
        <v>-</v>
      </c>
      <c r="BW48" s="58" t="str">
        <f>(S45)</f>
        <v>-</v>
      </c>
      <c r="BX48" s="272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94.19434326038065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91.8194640338505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78" t="s">
        <v>203</v>
      </c>
      <c r="BR49" s="270" t="s">
        <v>150</v>
      </c>
      <c r="BS49" s="278" t="s">
        <v>203</v>
      </c>
      <c r="BT49" s="26"/>
      <c r="BU49" s="270" t="s">
        <v>150</v>
      </c>
      <c r="BV49" s="269">
        <v>142</v>
      </c>
      <c r="BW49" s="269">
        <v>949</v>
      </c>
      <c r="BX49" s="279" t="s">
        <v>204</v>
      </c>
      <c r="BY49" s="26"/>
      <c r="BZ49" s="270" t="s">
        <v>150</v>
      </c>
      <c r="CA49" s="276" t="s">
        <v>205</v>
      </c>
      <c r="CB49" s="155" t="s">
        <v>23</v>
      </c>
      <c r="CC49" s="27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O52" s="11"/>
      <c r="Q52" s="11"/>
      <c r="R52" s="11"/>
      <c r="S52" s="11"/>
      <c r="U52" s="11"/>
      <c r="V52" s="11"/>
      <c r="W52" s="11"/>
      <c r="Y52" s="11"/>
      <c r="Z52" s="11"/>
      <c r="AA52" s="11"/>
      <c r="AC52" s="11"/>
      <c r="AD52" s="11"/>
      <c r="AE52" s="11"/>
      <c r="AG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X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K52" s="11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11"/>
    </row>
    <row r="53" spans="1:94" ht="18" customHeight="1">
      <c r="A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O53" s="11"/>
      <c r="Q53" s="11"/>
      <c r="R53" s="11"/>
      <c r="S53" s="11"/>
      <c r="U53" s="11"/>
      <c r="V53" s="11"/>
      <c r="W53" s="11"/>
      <c r="Y53" s="11"/>
      <c r="Z53" s="11"/>
      <c r="AA53" s="11"/>
      <c r="AC53" s="11"/>
      <c r="AD53" s="11"/>
      <c r="AE53" s="11"/>
      <c r="AG53" s="11"/>
      <c r="AI53" s="11"/>
      <c r="AJ53" s="11"/>
      <c r="AK53" s="11"/>
      <c r="AL53" s="11"/>
      <c r="AM53" s="11"/>
      <c r="AN53" s="11"/>
      <c r="AO53" s="11"/>
      <c r="AQ53" s="11"/>
      <c r="AR53" s="11"/>
      <c r="AS53" s="11"/>
      <c r="AT53" s="11"/>
      <c r="AU53" s="11"/>
      <c r="AV53" s="11"/>
      <c r="AX53" s="11"/>
      <c r="AY53" s="11"/>
      <c r="AZ53" s="11"/>
      <c r="BA53" s="11"/>
      <c r="BB53" s="11"/>
      <c r="BC53" s="11"/>
      <c r="BD53" s="11"/>
      <c r="BE53" s="11"/>
      <c r="BG53" s="11"/>
      <c r="BH53" s="11"/>
      <c r="BI53" s="11"/>
      <c r="BK53" s="11"/>
      <c r="BL53" s="19"/>
      <c r="BM53" s="20" t="s">
        <v>206</v>
      </c>
      <c r="BN53" s="20"/>
      <c r="BO53" s="57" t="s">
        <v>130</v>
      </c>
      <c r="BP53" s="20"/>
      <c r="BQ53" s="277" t="s">
        <v>203</v>
      </c>
      <c r="BR53" s="272" t="s">
        <v>150</v>
      </c>
      <c r="BS53" s="277" t="s">
        <v>203</v>
      </c>
      <c r="BT53" s="26"/>
      <c r="BU53" s="272" t="s">
        <v>150</v>
      </c>
      <c r="BV53" s="272" t="s">
        <v>150</v>
      </c>
      <c r="BW53" s="71" t="str">
        <f>(R45)</f>
        <v>-</v>
      </c>
      <c r="BX53" s="272" t="s">
        <v>150</v>
      </c>
      <c r="BY53" s="26"/>
      <c r="BZ53" s="26">
        <v>0</v>
      </c>
      <c r="CA53" s="75" t="s">
        <v>207</v>
      </c>
      <c r="CB53" s="26" t="s">
        <v>23</v>
      </c>
      <c r="CC53" s="27"/>
      <c r="CP53" s="11"/>
    </row>
    <row r="54" spans="1:94" ht="18" customHeight="1">
      <c r="A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O54" s="11"/>
      <c r="Q54" s="11"/>
      <c r="R54" s="11"/>
      <c r="S54" s="11"/>
      <c r="U54" s="11"/>
      <c r="V54" s="11"/>
      <c r="W54" s="11"/>
      <c r="Y54" s="11"/>
      <c r="Z54" s="11"/>
      <c r="AA54" s="11"/>
      <c r="AC54" s="11"/>
      <c r="AD54" s="11"/>
      <c r="AE54" s="11"/>
      <c r="AG54" s="11"/>
      <c r="AI54" s="11"/>
      <c r="AJ54" s="11"/>
      <c r="AK54" s="11"/>
      <c r="AL54" s="11"/>
      <c r="AM54" s="11"/>
      <c r="AN54" s="11"/>
      <c r="AO54" s="11"/>
      <c r="AQ54" s="11"/>
      <c r="AR54" s="11"/>
      <c r="AS54" s="11"/>
      <c r="AT54" s="11"/>
      <c r="AU54" s="11"/>
      <c r="AV54" s="11"/>
      <c r="AX54" s="11"/>
      <c r="AY54" s="11"/>
      <c r="AZ54" s="11"/>
      <c r="BA54" s="11"/>
      <c r="BB54" s="11"/>
      <c r="BC54" s="11"/>
      <c r="BD54" s="11"/>
      <c r="BE54" s="11"/>
      <c r="BG54" s="11"/>
      <c r="BH54" s="11"/>
      <c r="BI54" s="11"/>
      <c r="BK54" s="11"/>
      <c r="BL54" s="19"/>
      <c r="BM54" s="26" t="s">
        <v>86</v>
      </c>
      <c r="BN54" s="20"/>
      <c r="BO54" s="154" t="s">
        <v>131</v>
      </c>
      <c r="BP54" s="20"/>
      <c r="BQ54" s="278" t="s">
        <v>203</v>
      </c>
      <c r="BR54" s="270" t="s">
        <v>150</v>
      </c>
      <c r="BS54" s="278" t="s">
        <v>203</v>
      </c>
      <c r="BT54" s="26"/>
      <c r="BU54" s="270" t="s">
        <v>150</v>
      </c>
      <c r="BV54" s="270" t="s">
        <v>150</v>
      </c>
      <c r="BW54" s="279">
        <v>0.86</v>
      </c>
      <c r="BX54" s="279" t="s">
        <v>44</v>
      </c>
      <c r="BY54" s="26"/>
      <c r="BZ54" s="270" t="s">
        <v>150</v>
      </c>
      <c r="CA54" s="271" t="s">
        <v>207</v>
      </c>
      <c r="CB54" s="155" t="s">
        <v>23</v>
      </c>
      <c r="CC54" s="27"/>
      <c r="CP54" s="11"/>
    </row>
    <row r="55" spans="1:94" ht="18" customHeight="1">
      <c r="A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O55" s="17"/>
      <c r="Q55" s="17"/>
      <c r="R55" s="17"/>
      <c r="S55" s="17"/>
      <c r="U55" s="17"/>
      <c r="V55" s="17"/>
      <c r="W55" s="17"/>
      <c r="Y55" s="17"/>
      <c r="Z55" s="17"/>
      <c r="AA55" s="17"/>
      <c r="AC55" s="17"/>
      <c r="AD55" s="17"/>
      <c r="AE55" s="17"/>
      <c r="AG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T55" s="11"/>
      <c r="AU55" s="11"/>
      <c r="AV55" s="11"/>
      <c r="AX55" s="11"/>
      <c r="AY55" s="11"/>
      <c r="AZ55" s="11"/>
      <c r="BA55" s="11"/>
      <c r="BB55" s="11"/>
      <c r="BC55" s="11"/>
      <c r="BD55" s="11"/>
      <c r="BE55" s="11"/>
      <c r="BG55" s="11"/>
      <c r="BH55" s="11"/>
      <c r="BI55" s="11"/>
      <c r="BK55" s="11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11"/>
    </row>
    <row r="56" spans="1:94" ht="18" customHeight="1">
      <c r="A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1"/>
      <c r="AI56" s="11"/>
      <c r="AJ56" s="11"/>
      <c r="AK56" s="11"/>
      <c r="AL56" s="11"/>
      <c r="AM56" s="11"/>
      <c r="AN56" s="11"/>
      <c r="AO56" s="11"/>
      <c r="AQ56" s="11"/>
      <c r="AR56" s="11"/>
      <c r="AS56" s="11"/>
      <c r="AT56" s="11"/>
      <c r="AU56" s="11"/>
      <c r="AV56" s="11"/>
      <c r="AX56" s="11"/>
      <c r="AY56" s="11"/>
      <c r="AZ56" s="11"/>
      <c r="BA56" s="11"/>
      <c r="BB56" s="11"/>
      <c r="BC56" s="11"/>
      <c r="BD56" s="11"/>
      <c r="BE56" s="11"/>
      <c r="BG56" s="11"/>
      <c r="BH56" s="11"/>
      <c r="BI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P56" s="11"/>
    </row>
    <row r="57" spans="1:9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/>
      <c r="O57" s="11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/>
      <c r="AC57" s="17"/>
      <c r="AD57" s="17"/>
      <c r="AE57" s="17"/>
      <c r="AF57" s="17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/>
      <c r="CE57"/>
      <c r="CF57"/>
      <c r="CG57"/>
      <c r="CH57"/>
      <c r="CI57"/>
      <c r="CJ57"/>
      <c r="CK57"/>
      <c r="CL57"/>
      <c r="CM57"/>
      <c r="CN57"/>
      <c r="CO57"/>
      <c r="CP57" s="11"/>
    </row>
    <row r="58" spans="1:9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/>
      <c r="O58" s="11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/>
      <c r="CE58"/>
      <c r="CF58"/>
      <c r="CG58"/>
      <c r="CH58"/>
      <c r="CI58"/>
      <c r="CJ58"/>
      <c r="CK58"/>
      <c r="CL58"/>
      <c r="CM58"/>
      <c r="CN58"/>
      <c r="CO58"/>
      <c r="CP58" s="11"/>
    </row>
    <row r="59" spans="1:9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 password="CCAE" sheet="1" objects="1" scenarios="1"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199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November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November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1">
        <v>2232401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5">
        <v>2235604</v>
      </c>
      <c r="D12" s="138">
        <f aca="true" t="shared" si="0" ref="D12:D42">(IF(C12=0," ",((C12-C11)/1000)))</f>
        <v>3.203</v>
      </c>
      <c r="E12" s="140">
        <v>4.2</v>
      </c>
      <c r="F12" s="141">
        <v>1</v>
      </c>
      <c r="G12" s="81" t="str">
        <f aca="true" t="shared" si="1" ref="G12:G42">(IF(C12=0," ","0.00"))</f>
        <v>0.00</v>
      </c>
      <c r="H12" s="85">
        <v>0</v>
      </c>
      <c r="I12" s="86">
        <v>0</v>
      </c>
      <c r="J12" s="11"/>
      <c r="K12" s="87" t="s">
        <v>210</v>
      </c>
      <c r="L12" s="85">
        <v>59</v>
      </c>
      <c r="M12" s="88">
        <v>0</v>
      </c>
      <c r="N12" s="11"/>
      <c r="O12" s="89"/>
      <c r="P12" s="11"/>
      <c r="Q12" s="90"/>
      <c r="R12" s="91"/>
      <c r="S12" s="92"/>
      <c r="T12" s="11"/>
      <c r="U12" s="93">
        <v>7.1</v>
      </c>
      <c r="V12" s="94">
        <v>7</v>
      </c>
      <c r="W12" s="95">
        <v>6.7</v>
      </c>
      <c r="X12" s="11"/>
      <c r="Y12" s="90">
        <v>16</v>
      </c>
      <c r="Z12" s="96">
        <v>15</v>
      </c>
      <c r="AA12" s="92">
        <v>16</v>
      </c>
      <c r="AB12" s="11"/>
      <c r="AC12" s="93">
        <v>5</v>
      </c>
      <c r="AD12" s="91">
        <v>0.01</v>
      </c>
      <c r="AE12" s="97">
        <v>0</v>
      </c>
      <c r="AF12" s="11"/>
      <c r="AG12" s="45">
        <f aca="true" t="shared" si="2" ref="AG12:AG42">($A12)</f>
        <v>1</v>
      </c>
      <c r="AH12" s="11"/>
      <c r="AI12" s="98"/>
      <c r="AJ12" s="55">
        <f aca="true" t="shared" si="3" ref="AJ12:AJ42">IF(AI12=0,"",(D12*AI12*8.34))</f>
      </c>
      <c r="AK12" s="98"/>
      <c r="AL12" s="55">
        <f aca="true" t="shared" si="4" ref="AL12:AL42">IF(AK12=0,"",(D12*AK12*8.34))</f>
      </c>
      <c r="AM12" s="98"/>
      <c r="AN12" s="55">
        <f aca="true" t="shared" si="5" ref="AN12:AN42">IF(AM12=0,"",(D12*AM12*8.34))</f>
      </c>
      <c r="AO12" s="99"/>
      <c r="AP12" s="11"/>
      <c r="AQ12" s="100"/>
      <c r="AR12" s="55">
        <f aca="true" t="shared" si="6" ref="AR12:AR42">IF(AQ12=0,"",(D12*AQ12*8.34))</f>
      </c>
      <c r="AS12" s="98"/>
      <c r="AT12" s="55">
        <f aca="true" t="shared" si="7" ref="AT12:AT42">IF(AS12=0,"",(D12*AS12*8.34))</f>
      </c>
      <c r="AU12" s="98"/>
      <c r="AV12" s="55">
        <f aca="true" t="shared" si="8" ref="AV12:AV42">IF(AU12=0,"",(D12*AU12*8.34))</f>
      </c>
      <c r="AW12" s="11"/>
      <c r="AX12" s="100"/>
      <c r="AY12" s="101"/>
      <c r="AZ12" s="102"/>
      <c r="BA12" s="98"/>
      <c r="BB12" s="102"/>
      <c r="BC12" s="98"/>
      <c r="BD12" s="98"/>
      <c r="BE12" s="103"/>
      <c r="BF12" s="11"/>
      <c r="BG12" s="100"/>
      <c r="BH12" s="84"/>
      <c r="BI12" s="104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6">
        <f>(IF(((SUM(AN12:AN42))=0)," ",(AVERAGE(AN12:AN42))))</f>
        <v>510.04659999999996</v>
      </c>
      <c r="BR12" s="186">
        <f>MAX(AN12:AN42)</f>
        <v>716.00568</v>
      </c>
      <c r="BS12" s="26" t="s">
        <v>126</v>
      </c>
      <c r="BT12" s="26"/>
      <c r="BU12" s="186">
        <f>(IF(((SUM(AM12:AM42))=0)," ",(AVERAGE(AM12:AM42))))</f>
        <v>20.75</v>
      </c>
      <c r="BV12" s="58">
        <f>(CG23)</f>
        <v>25.333333333333332</v>
      </c>
      <c r="BW12" s="186">
        <f>MAX(AM12:AM42)</f>
        <v>30</v>
      </c>
      <c r="BX12" s="26" t="s">
        <v>128</v>
      </c>
      <c r="BY12" s="26"/>
      <c r="BZ12" s="26">
        <v>0</v>
      </c>
      <c r="CA12" s="267" t="s">
        <v>47</v>
      </c>
      <c r="CB12" s="26">
        <v>24</v>
      </c>
      <c r="CC12" s="137"/>
      <c r="CE12" s="24"/>
      <c r="CF12" s="20" t="s">
        <v>138</v>
      </c>
      <c r="CG12" s="106">
        <f>(IF(((SUM(AM12:AM18))=0)," ",(AVERAGE(AM12:AM18))))</f>
        <v>15.333333333333334</v>
      </c>
      <c r="CH12" s="106">
        <f>(IF(((SUM(AN12:AN18))=0)," ",(AVERAGE(AN12:AN18))))</f>
        <v>407.64251999999993</v>
      </c>
      <c r="CI12" s="286"/>
      <c r="CJ12" s="106">
        <f>(IF(((SUM(AU12:AU18))=0)," ",(AVERAGE(AU12:AU18))))</f>
        <v>24</v>
      </c>
      <c r="CK12" s="106">
        <f>(IF(((SUM(AV12:AV18))=0)," ",(AVERAGE(AV12:AV18))))</f>
        <v>639.04972</v>
      </c>
      <c r="CL12" s="53"/>
      <c r="CM12" s="152">
        <v>0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5">
        <v>2238583</v>
      </c>
      <c r="D13" s="138">
        <f t="shared" si="0"/>
        <v>2.979</v>
      </c>
      <c r="E13" s="140">
        <v>4.2</v>
      </c>
      <c r="F13" s="141">
        <v>1.2</v>
      </c>
      <c r="G13" s="81" t="str">
        <f t="shared" si="1"/>
        <v>0.00</v>
      </c>
      <c r="H13" s="85">
        <v>0</v>
      </c>
      <c r="I13" s="86">
        <v>1000</v>
      </c>
      <c r="J13" s="11"/>
      <c r="K13" s="87" t="s">
        <v>208</v>
      </c>
      <c r="L13" s="85">
        <v>47</v>
      </c>
      <c r="M13" s="88">
        <v>0.11</v>
      </c>
      <c r="N13" s="11"/>
      <c r="O13" s="107"/>
      <c r="P13" s="11"/>
      <c r="Q13" s="108"/>
      <c r="R13" s="153"/>
      <c r="S13" s="109"/>
      <c r="T13" s="11"/>
      <c r="U13" s="93">
        <v>6.8</v>
      </c>
      <c r="V13" s="94">
        <v>6.9</v>
      </c>
      <c r="W13" s="95">
        <v>6.7</v>
      </c>
      <c r="X13" s="11"/>
      <c r="Y13" s="90">
        <v>15</v>
      </c>
      <c r="Z13" s="96">
        <v>15</v>
      </c>
      <c r="AA13" s="92">
        <v>16</v>
      </c>
      <c r="AB13" s="11"/>
      <c r="AC13" s="93">
        <v>2</v>
      </c>
      <c r="AD13" s="91">
        <v>0.01</v>
      </c>
      <c r="AE13" s="97">
        <v>0</v>
      </c>
      <c r="AF13" s="11"/>
      <c r="AG13" s="45">
        <f t="shared" si="2"/>
        <v>2</v>
      </c>
      <c r="AH13" s="11"/>
      <c r="AI13" s="98"/>
      <c r="AJ13" s="55">
        <f t="shared" si="3"/>
      </c>
      <c r="AK13" s="98"/>
      <c r="AL13" s="55">
        <f t="shared" si="4"/>
      </c>
      <c r="AM13" s="98"/>
      <c r="AN13" s="55">
        <f t="shared" si="5"/>
      </c>
      <c r="AO13" s="110"/>
      <c r="AP13" s="11"/>
      <c r="AQ13" s="100"/>
      <c r="AR13" s="55">
        <f t="shared" si="6"/>
      </c>
      <c r="AS13" s="98"/>
      <c r="AT13" s="55">
        <f t="shared" si="7"/>
      </c>
      <c r="AU13" s="98"/>
      <c r="AV13" s="55">
        <f t="shared" si="8"/>
      </c>
      <c r="AW13" s="11"/>
      <c r="AX13" s="100"/>
      <c r="AY13" s="101"/>
      <c r="AZ13" s="102"/>
      <c r="BA13" s="98"/>
      <c r="BB13" s="102"/>
      <c r="BC13" s="98"/>
      <c r="BD13" s="98"/>
      <c r="BE13" s="103"/>
      <c r="BF13" s="11"/>
      <c r="BG13" s="100"/>
      <c r="BH13" s="84"/>
      <c r="BI13" s="104"/>
      <c r="BJ13" s="11"/>
      <c r="BK13" s="17"/>
      <c r="BL13" s="19"/>
      <c r="BM13" s="26" t="s">
        <v>86</v>
      </c>
      <c r="BN13" s="20"/>
      <c r="BO13" s="154" t="s">
        <v>131</v>
      </c>
      <c r="BP13" s="26"/>
      <c r="BQ13" s="268">
        <v>963</v>
      </c>
      <c r="BR13" s="268">
        <v>1605</v>
      </c>
      <c r="BS13" s="155" t="s">
        <v>126</v>
      </c>
      <c r="BT13" s="26"/>
      <c r="BU13" s="268">
        <v>30</v>
      </c>
      <c r="BV13" s="269">
        <v>45</v>
      </c>
      <c r="BW13" s="268">
        <v>50</v>
      </c>
      <c r="BX13" s="155" t="s">
        <v>128</v>
      </c>
      <c r="BY13" s="26"/>
      <c r="BZ13" s="270" t="s">
        <v>150</v>
      </c>
      <c r="CA13" s="271" t="s">
        <v>47</v>
      </c>
      <c r="CB13" s="155">
        <v>24</v>
      </c>
      <c r="CC13" s="137"/>
      <c r="CE13" s="24"/>
      <c r="CF13" s="20"/>
      <c r="CG13" s="286"/>
      <c r="CH13" s="286"/>
      <c r="CI13" s="286"/>
      <c r="CJ13" s="286"/>
      <c r="CK13" s="286"/>
      <c r="CL13" s="53"/>
      <c r="CM13" s="287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5">
        <v>2241658</v>
      </c>
      <c r="D14" s="138">
        <f t="shared" si="0"/>
        <v>3.075</v>
      </c>
      <c r="E14" s="140">
        <v>4.2</v>
      </c>
      <c r="F14" s="141">
        <v>1.5</v>
      </c>
      <c r="G14" s="81" t="str">
        <f t="shared" si="1"/>
        <v>0.00</v>
      </c>
      <c r="H14" s="85">
        <v>3200</v>
      </c>
      <c r="I14" s="86">
        <v>4500</v>
      </c>
      <c r="K14" s="87" t="s">
        <v>208</v>
      </c>
      <c r="L14" s="85">
        <v>47</v>
      </c>
      <c r="M14" s="88">
        <v>0.39</v>
      </c>
      <c r="O14" s="107"/>
      <c r="Q14" s="108" t="s">
        <v>10</v>
      </c>
      <c r="R14" s="153" t="s">
        <v>10</v>
      </c>
      <c r="S14" s="109" t="s">
        <v>10</v>
      </c>
      <c r="U14" s="93">
        <v>7.1</v>
      </c>
      <c r="V14" s="94">
        <v>7</v>
      </c>
      <c r="W14" s="95">
        <v>7.1</v>
      </c>
      <c r="Y14" s="90">
        <v>15</v>
      </c>
      <c r="Z14" s="96">
        <v>15</v>
      </c>
      <c r="AA14" s="92">
        <v>15</v>
      </c>
      <c r="AC14" s="93">
        <v>3.5</v>
      </c>
      <c r="AD14" s="91">
        <v>0.1</v>
      </c>
      <c r="AE14" s="97">
        <v>0</v>
      </c>
      <c r="AG14" s="45">
        <f t="shared" si="2"/>
        <v>3</v>
      </c>
      <c r="AI14" s="98"/>
      <c r="AJ14" s="55">
        <f t="shared" si="3"/>
      </c>
      <c r="AK14" s="98"/>
      <c r="AL14" s="55">
        <f t="shared" si="4"/>
      </c>
      <c r="AM14" s="98"/>
      <c r="AN14" s="55">
        <f t="shared" si="5"/>
      </c>
      <c r="AO14" s="110"/>
      <c r="AQ14" s="100"/>
      <c r="AR14" s="55">
        <f t="shared" si="6"/>
      </c>
      <c r="AS14" s="98"/>
      <c r="AT14" s="55">
        <f t="shared" si="7"/>
      </c>
      <c r="AU14" s="98"/>
      <c r="AV14" s="55">
        <f t="shared" si="8"/>
      </c>
      <c r="AX14" s="100">
        <v>57460</v>
      </c>
      <c r="AY14" s="101">
        <v>2</v>
      </c>
      <c r="AZ14" s="102">
        <v>3.75</v>
      </c>
      <c r="BA14" s="98">
        <v>34.1</v>
      </c>
      <c r="BB14" s="102">
        <v>27</v>
      </c>
      <c r="BC14" s="98">
        <v>24</v>
      </c>
      <c r="BD14" s="98"/>
      <c r="BE14" s="103"/>
      <c r="BG14" s="100">
        <v>24</v>
      </c>
      <c r="BH14" s="84" t="s">
        <v>229</v>
      </c>
      <c r="BI14" s="104" t="s">
        <v>230</v>
      </c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(IF(((SUM(AM19:AM25))=0)," ",(AVERAGE(AM19:AM25))))</f>
        <v>25.333333333333332</v>
      </c>
      <c r="CH14" s="106">
        <f>(IF(((SUM(AN19:AN25))=0)," ",(AVERAGE(AN19:AN25))))</f>
        <v>590.58598</v>
      </c>
      <c r="CI14" s="286"/>
      <c r="CJ14" s="106">
        <f>(IF(((SUM(AU19:AU25))=0)," ",(AVERAGE(AU19:AU25))))</f>
        <v>31</v>
      </c>
      <c r="CK14" s="106">
        <f>(IF(((SUM(AV19:AV25))=0)," ",(AVERAGE(AV19:AV25))))</f>
        <v>721.8575799999999</v>
      </c>
      <c r="CL14" s="53"/>
      <c r="CM14" s="152">
        <f>(AVERAGE(AE13:AE19))</f>
        <v>0.017142857142857144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5">
        <v>2244816</v>
      </c>
      <c r="D15" s="138">
        <f t="shared" si="0"/>
        <v>3.158</v>
      </c>
      <c r="E15" s="140">
        <v>4.2</v>
      </c>
      <c r="F15" s="141">
        <v>1.4</v>
      </c>
      <c r="G15" s="81" t="str">
        <f t="shared" si="1"/>
        <v>0.00</v>
      </c>
      <c r="H15" s="85">
        <v>2200</v>
      </c>
      <c r="I15" s="86">
        <v>8250</v>
      </c>
      <c r="K15" s="87" t="s">
        <v>208</v>
      </c>
      <c r="L15" s="85">
        <v>39</v>
      </c>
      <c r="M15" s="88">
        <v>0.12</v>
      </c>
      <c r="O15" s="107"/>
      <c r="Q15" s="108"/>
      <c r="R15" s="153"/>
      <c r="S15" s="109"/>
      <c r="U15" s="93">
        <v>7.1</v>
      </c>
      <c r="V15" s="94">
        <v>7</v>
      </c>
      <c r="W15" s="95">
        <v>7.2</v>
      </c>
      <c r="Y15" s="90">
        <v>16</v>
      </c>
      <c r="Z15" s="96">
        <v>15</v>
      </c>
      <c r="AA15" s="92">
        <v>16</v>
      </c>
      <c r="AC15" s="93">
        <v>5</v>
      </c>
      <c r="AD15" s="91">
        <v>0.1</v>
      </c>
      <c r="AE15" s="97">
        <v>0.1</v>
      </c>
      <c r="AG15" s="45">
        <f t="shared" si="2"/>
        <v>4</v>
      </c>
      <c r="AI15" s="98"/>
      <c r="AJ15" s="55">
        <f t="shared" si="3"/>
      </c>
      <c r="AK15" s="98"/>
      <c r="AL15" s="55">
        <f t="shared" si="4"/>
      </c>
      <c r="AM15" s="98"/>
      <c r="AN15" s="55">
        <f t="shared" si="5"/>
      </c>
      <c r="AO15" s="110"/>
      <c r="AQ15" s="100"/>
      <c r="AR15" s="55">
        <f t="shared" si="6"/>
      </c>
      <c r="AS15" s="98"/>
      <c r="AT15" s="55">
        <f t="shared" si="7"/>
      </c>
      <c r="AU15" s="98"/>
      <c r="AV15" s="55">
        <f t="shared" si="8"/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286"/>
      <c r="CH15" s="286"/>
      <c r="CI15" s="286"/>
      <c r="CJ15" s="286"/>
      <c r="CK15" s="286"/>
      <c r="CL15" s="53"/>
      <c r="CM15" s="287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3">
        <v>2247942</v>
      </c>
      <c r="D16" s="139">
        <f t="shared" si="0"/>
        <v>3.126</v>
      </c>
      <c r="E16" s="142">
        <v>4.7</v>
      </c>
      <c r="F16" s="143">
        <v>1.4</v>
      </c>
      <c r="G16" s="184" t="str">
        <f t="shared" si="1"/>
        <v>0.00</v>
      </c>
      <c r="H16" s="113">
        <v>2200</v>
      </c>
      <c r="I16" s="114">
        <v>9750</v>
      </c>
      <c r="K16" s="115" t="s">
        <v>208</v>
      </c>
      <c r="L16" s="113">
        <v>37</v>
      </c>
      <c r="M16" s="116">
        <v>0.4</v>
      </c>
      <c r="O16" s="117"/>
      <c r="Q16" s="108" t="s">
        <v>4</v>
      </c>
      <c r="R16" s="153" t="s">
        <v>4</v>
      </c>
      <c r="S16" s="109" t="s">
        <v>4</v>
      </c>
      <c r="U16" s="118">
        <v>7.2</v>
      </c>
      <c r="V16" s="119">
        <v>7</v>
      </c>
      <c r="W16" s="120">
        <v>7.2</v>
      </c>
      <c r="Y16" s="121">
        <v>15</v>
      </c>
      <c r="Z16" s="122">
        <v>15</v>
      </c>
      <c r="AA16" s="123">
        <v>15</v>
      </c>
      <c r="AC16" s="118">
        <v>5.5</v>
      </c>
      <c r="AD16" s="124">
        <v>0.1</v>
      </c>
      <c r="AE16" s="125">
        <v>0.01</v>
      </c>
      <c r="AG16" s="45">
        <f t="shared" si="2"/>
        <v>5</v>
      </c>
      <c r="AI16" s="126">
        <v>221</v>
      </c>
      <c r="AJ16" s="65">
        <f t="shared" si="3"/>
        <v>5761.65564</v>
      </c>
      <c r="AK16" s="126"/>
      <c r="AL16" s="65">
        <f t="shared" si="4"/>
      </c>
      <c r="AM16" s="126">
        <v>14</v>
      </c>
      <c r="AN16" s="65">
        <f t="shared" si="5"/>
        <v>364.99175999999994</v>
      </c>
      <c r="AO16" s="127">
        <v>11</v>
      </c>
      <c r="AQ16" s="128">
        <v>396</v>
      </c>
      <c r="AR16" s="65">
        <f t="shared" si="6"/>
        <v>10324.05264</v>
      </c>
      <c r="AS16" s="126"/>
      <c r="AT16" s="65">
        <f t="shared" si="7"/>
      </c>
      <c r="AU16" s="126">
        <v>22</v>
      </c>
      <c r="AV16" s="65">
        <f t="shared" si="8"/>
        <v>573.5584799999999</v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(IF(((SUM(AM26:AM32))=0)," ",(AVERAGE(AM26:AM32))))</f>
        <v>23</v>
      </c>
      <c r="CH16" s="106">
        <f>(IF(((SUM(AN26:AN32))=0)," ",(AVERAGE(AN26:AN32))))</f>
        <v>550.96542</v>
      </c>
      <c r="CI16" s="286"/>
      <c r="CJ16" s="106">
        <f>(IF(((SUM(AU26:AU32))=0)," ",(AVERAGE(AU26:AU32))))</f>
        <v>34.333333333333336</v>
      </c>
      <c r="CK16" s="106">
        <f>(IF(((SUM(AV26:AV32))=0)," ",(AVERAGE(AV26:AV32))))</f>
        <v>816.9947400000001</v>
      </c>
      <c r="CL16" s="53"/>
      <c r="CM16" s="152">
        <f>(AVERAGE(AE20:AE26))</f>
        <v>0.015714285714285715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5">
        <v>2251254</v>
      </c>
      <c r="D17" s="138">
        <f t="shared" si="0"/>
        <v>3.312</v>
      </c>
      <c r="E17" s="140">
        <v>4.2</v>
      </c>
      <c r="F17" s="141">
        <v>1.4</v>
      </c>
      <c r="G17" s="81" t="str">
        <f t="shared" si="1"/>
        <v>0.00</v>
      </c>
      <c r="H17" s="85">
        <v>1650</v>
      </c>
      <c r="I17" s="86">
        <v>7500</v>
      </c>
      <c r="K17" s="87" t="s">
        <v>210</v>
      </c>
      <c r="L17" s="85">
        <v>47</v>
      </c>
      <c r="M17" s="88">
        <v>0.01</v>
      </c>
      <c r="O17" s="107"/>
      <c r="Q17" s="108"/>
      <c r="R17" s="153"/>
      <c r="S17" s="109"/>
      <c r="U17" s="93">
        <v>7</v>
      </c>
      <c r="V17" s="94">
        <v>7</v>
      </c>
      <c r="W17" s="95">
        <v>7</v>
      </c>
      <c r="Y17" s="90">
        <v>15</v>
      </c>
      <c r="Z17" s="96">
        <v>15</v>
      </c>
      <c r="AA17" s="92">
        <v>15</v>
      </c>
      <c r="AC17" s="93">
        <v>4.5</v>
      </c>
      <c r="AD17" s="91">
        <v>0.1</v>
      </c>
      <c r="AE17" s="97">
        <v>0</v>
      </c>
      <c r="AG17" s="45">
        <f t="shared" si="2"/>
        <v>6</v>
      </c>
      <c r="AI17" s="98">
        <v>171</v>
      </c>
      <c r="AJ17" s="55">
        <f t="shared" si="3"/>
        <v>4723.37568</v>
      </c>
      <c r="AK17" s="98"/>
      <c r="AL17" s="55">
        <f t="shared" si="4"/>
      </c>
      <c r="AM17" s="98">
        <v>14</v>
      </c>
      <c r="AN17" s="55">
        <f t="shared" si="5"/>
        <v>386.7091199999999</v>
      </c>
      <c r="AO17" s="110">
        <v>9</v>
      </c>
      <c r="AQ17" s="100">
        <v>228</v>
      </c>
      <c r="AR17" s="55">
        <f t="shared" si="6"/>
        <v>6297.834239999999</v>
      </c>
      <c r="AS17" s="98"/>
      <c r="AT17" s="55">
        <f t="shared" si="7"/>
      </c>
      <c r="AU17" s="98">
        <v>24</v>
      </c>
      <c r="AV17" s="55">
        <f t="shared" si="8"/>
        <v>662.92992</v>
      </c>
      <c r="AX17" s="100">
        <v>58317</v>
      </c>
      <c r="AY17" s="101">
        <v>4</v>
      </c>
      <c r="AZ17" s="102">
        <v>3.75</v>
      </c>
      <c r="BA17" s="98">
        <v>37.2</v>
      </c>
      <c r="BB17" s="102">
        <v>28</v>
      </c>
      <c r="BC17" s="98">
        <v>24</v>
      </c>
      <c r="BD17" s="98"/>
      <c r="BE17" s="103"/>
      <c r="BG17" s="100">
        <v>24</v>
      </c>
      <c r="BH17" s="84" t="s">
        <v>229</v>
      </c>
      <c r="BI17" s="104" t="s">
        <v>230</v>
      </c>
      <c r="BK17" s="17"/>
      <c r="BL17" s="19"/>
      <c r="BM17" s="56" t="s">
        <v>111</v>
      </c>
      <c r="BN17" s="20"/>
      <c r="BO17" s="57" t="s">
        <v>130</v>
      </c>
      <c r="BP17" s="26"/>
      <c r="BQ17" s="272" t="s">
        <v>150</v>
      </c>
      <c r="BR17" s="272" t="s">
        <v>150</v>
      </c>
      <c r="BS17" s="272" t="s">
        <v>150</v>
      </c>
      <c r="BT17" s="26"/>
      <c r="BU17" s="68">
        <f>MIN(W12:W42)</f>
        <v>6.62</v>
      </c>
      <c r="BV17" s="272" t="s">
        <v>150</v>
      </c>
      <c r="BW17" s="68">
        <f>MAX(W12:W42)</f>
        <v>7.2</v>
      </c>
      <c r="BX17" s="26" t="s">
        <v>43</v>
      </c>
      <c r="BY17" s="26"/>
      <c r="BZ17" s="26">
        <v>0</v>
      </c>
      <c r="CA17" s="267" t="s">
        <v>48</v>
      </c>
      <c r="CB17" s="26" t="s">
        <v>23</v>
      </c>
      <c r="CC17" s="137"/>
      <c r="CE17" s="69"/>
      <c r="CF17" s="20"/>
      <c r="CG17" s="286"/>
      <c r="CH17" s="286"/>
      <c r="CI17" s="286"/>
      <c r="CJ17" s="286"/>
      <c r="CK17" s="286"/>
      <c r="CL17" s="20"/>
      <c r="CM17" s="287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5">
        <v>2254393</v>
      </c>
      <c r="D18" s="138">
        <f t="shared" si="0"/>
        <v>3.139</v>
      </c>
      <c r="E18" s="140">
        <v>4.4</v>
      </c>
      <c r="F18" s="141">
        <v>1</v>
      </c>
      <c r="G18" s="81" t="str">
        <f t="shared" si="1"/>
        <v>0.00</v>
      </c>
      <c r="H18" s="85">
        <v>5000</v>
      </c>
      <c r="I18" s="86">
        <v>5300</v>
      </c>
      <c r="K18" s="87" t="s">
        <v>208</v>
      </c>
      <c r="L18" s="85">
        <v>44</v>
      </c>
      <c r="M18" s="88">
        <v>0</v>
      </c>
      <c r="O18" s="107"/>
      <c r="Q18" s="108" t="s">
        <v>4</v>
      </c>
      <c r="R18" s="153" t="s">
        <v>4</v>
      </c>
      <c r="S18" s="109" t="s">
        <v>4</v>
      </c>
      <c r="U18" s="93">
        <v>7.1</v>
      </c>
      <c r="V18" s="94">
        <v>7</v>
      </c>
      <c r="W18" s="95">
        <v>7</v>
      </c>
      <c r="Y18" s="90">
        <v>16</v>
      </c>
      <c r="Z18" s="96">
        <v>15</v>
      </c>
      <c r="AA18" s="92">
        <v>15</v>
      </c>
      <c r="AC18" s="93">
        <v>5.5</v>
      </c>
      <c r="AD18" s="91">
        <v>0.1</v>
      </c>
      <c r="AE18" s="97">
        <v>0.01</v>
      </c>
      <c r="AG18" s="45">
        <f t="shared" si="2"/>
        <v>7</v>
      </c>
      <c r="AI18" s="98">
        <v>217</v>
      </c>
      <c r="AJ18" s="55">
        <f t="shared" si="3"/>
        <v>5680.89942</v>
      </c>
      <c r="AK18" s="98">
        <v>144</v>
      </c>
      <c r="AL18" s="55">
        <f t="shared" si="4"/>
        <v>3769.8134399999994</v>
      </c>
      <c r="AM18" s="98">
        <v>18</v>
      </c>
      <c r="AN18" s="55">
        <f t="shared" si="5"/>
        <v>471.22667999999993</v>
      </c>
      <c r="AO18" s="110">
        <v>11</v>
      </c>
      <c r="AQ18" s="100">
        <v>264</v>
      </c>
      <c r="AR18" s="55">
        <f t="shared" si="6"/>
        <v>6911.324639999999</v>
      </c>
      <c r="AS18" s="98">
        <v>87</v>
      </c>
      <c r="AT18" s="55">
        <f t="shared" si="7"/>
        <v>2277.5956199999996</v>
      </c>
      <c r="AU18" s="98">
        <v>26</v>
      </c>
      <c r="AV18" s="55">
        <f t="shared" si="8"/>
        <v>680.6607599999999</v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70" t="s">
        <v>150</v>
      </c>
      <c r="BR18" s="270" t="s">
        <v>150</v>
      </c>
      <c r="BS18" s="270" t="s">
        <v>150</v>
      </c>
      <c r="BT18" s="26"/>
      <c r="BU18" s="273">
        <v>6</v>
      </c>
      <c r="BV18" s="270" t="s">
        <v>150</v>
      </c>
      <c r="BW18" s="155">
        <v>8.5</v>
      </c>
      <c r="BX18" s="155" t="s">
        <v>43</v>
      </c>
      <c r="BY18" s="26"/>
      <c r="BZ18" s="270" t="s">
        <v>150</v>
      </c>
      <c r="CA18" s="271" t="s">
        <v>48</v>
      </c>
      <c r="CB18" s="155" t="s">
        <v>23</v>
      </c>
      <c r="CC18" s="137"/>
      <c r="CE18" s="69"/>
      <c r="CF18" s="20" t="s">
        <v>141</v>
      </c>
      <c r="CG18" s="106">
        <f>(IF(((SUM(AM33:AM39))=0)," ",(AVERAGE(AM33:AM39))))</f>
        <v>19.333333333333332</v>
      </c>
      <c r="CH18" s="106">
        <f>(IF(((SUM(AN33:AN39))=0)," ",(AVERAGE(AN33:AN39))))</f>
        <v>490.99248000000006</v>
      </c>
      <c r="CI18" s="286"/>
      <c r="CJ18" s="106">
        <f>(IF(((SUM(AU33:AU39))=0)," ",(AVERAGE(AU33:AU39))))</f>
        <v>31.333333333333332</v>
      </c>
      <c r="CK18" s="106">
        <f>(IF(((SUM(AV33:AV39))=0)," ",(AVERAGE(AV33:AV39))))</f>
        <v>796.16698</v>
      </c>
      <c r="CL18" s="20"/>
      <c r="CM18" s="152">
        <f>(AVERAGE(AE27:AE33))</f>
        <v>0.0014285714285714286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5">
        <v>2257458</v>
      </c>
      <c r="D19" s="138">
        <f t="shared" si="0"/>
        <v>3.065</v>
      </c>
      <c r="E19" s="140">
        <v>4.2</v>
      </c>
      <c r="F19" s="141">
        <v>1</v>
      </c>
      <c r="G19" s="81" t="str">
        <f t="shared" si="1"/>
        <v>0.00</v>
      </c>
      <c r="H19" s="85">
        <v>0</v>
      </c>
      <c r="I19" s="86">
        <v>0</v>
      </c>
      <c r="K19" s="87" t="s">
        <v>210</v>
      </c>
      <c r="L19" s="85">
        <v>32</v>
      </c>
      <c r="M19" s="88">
        <v>0</v>
      </c>
      <c r="O19" s="107"/>
      <c r="Q19" s="108"/>
      <c r="R19" s="153"/>
      <c r="S19" s="109"/>
      <c r="U19" s="93">
        <v>6.9</v>
      </c>
      <c r="V19" s="94">
        <v>7</v>
      </c>
      <c r="W19" s="95">
        <v>7</v>
      </c>
      <c r="Y19" s="90">
        <v>15</v>
      </c>
      <c r="Z19" s="96">
        <v>15</v>
      </c>
      <c r="AA19" s="92">
        <v>15</v>
      </c>
      <c r="AC19" s="93">
        <v>3.5</v>
      </c>
      <c r="AD19" s="91">
        <v>0.1</v>
      </c>
      <c r="AE19" s="97">
        <v>0</v>
      </c>
      <c r="AG19" s="45">
        <f t="shared" si="2"/>
        <v>8</v>
      </c>
      <c r="AI19" s="98"/>
      <c r="AJ19" s="55">
        <f t="shared" si="3"/>
      </c>
      <c r="AK19" s="98"/>
      <c r="AL19" s="55">
        <f t="shared" si="4"/>
      </c>
      <c r="AM19" s="98"/>
      <c r="AN19" s="55">
        <f t="shared" si="5"/>
      </c>
      <c r="AO19" s="110"/>
      <c r="AQ19" s="100"/>
      <c r="AR19" s="55">
        <f t="shared" si="6"/>
      </c>
      <c r="AS19" s="98"/>
      <c r="AT19" s="55">
        <f t="shared" si="7"/>
      </c>
      <c r="AU19" s="98"/>
      <c r="AV19" s="55">
        <f t="shared" si="8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86"/>
      <c r="CH19" s="286"/>
      <c r="CI19" s="286"/>
      <c r="CJ19" s="286"/>
      <c r="CK19" s="286"/>
      <c r="CL19" s="20"/>
      <c r="CM19" s="287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5">
        <v>2260362</v>
      </c>
      <c r="D20" s="138">
        <f t="shared" si="0"/>
        <v>2.904</v>
      </c>
      <c r="E20" s="140">
        <v>4.2</v>
      </c>
      <c r="F20" s="141">
        <v>0.8</v>
      </c>
      <c r="G20" s="81" t="str">
        <f t="shared" si="1"/>
        <v>0.00</v>
      </c>
      <c r="H20" s="85">
        <v>1200</v>
      </c>
      <c r="I20" s="86">
        <v>0</v>
      </c>
      <c r="K20" s="87" t="s">
        <v>210</v>
      </c>
      <c r="L20" s="85">
        <v>28</v>
      </c>
      <c r="M20" s="88">
        <v>0</v>
      </c>
      <c r="O20" s="107"/>
      <c r="Q20" s="108"/>
      <c r="R20" s="153"/>
      <c r="S20" s="109"/>
      <c r="U20" s="93">
        <v>7</v>
      </c>
      <c r="V20" s="94">
        <v>7</v>
      </c>
      <c r="W20" s="95">
        <v>7</v>
      </c>
      <c r="Y20" s="90">
        <v>14</v>
      </c>
      <c r="Z20" s="96">
        <v>14</v>
      </c>
      <c r="AA20" s="92">
        <v>14</v>
      </c>
      <c r="AC20" s="93">
        <v>4.5</v>
      </c>
      <c r="AD20" s="91">
        <v>0.1</v>
      </c>
      <c r="AE20" s="97">
        <v>0</v>
      </c>
      <c r="AG20" s="45">
        <f t="shared" si="2"/>
        <v>9</v>
      </c>
      <c r="AI20" s="98"/>
      <c r="AJ20" s="55">
        <f t="shared" si="3"/>
      </c>
      <c r="AK20" s="98"/>
      <c r="AL20" s="55">
        <f t="shared" si="4"/>
      </c>
      <c r="AM20" s="98"/>
      <c r="AN20" s="55">
        <f t="shared" si="5"/>
      </c>
      <c r="AO20" s="110"/>
      <c r="AQ20" s="100"/>
      <c r="AR20" s="55">
        <f t="shared" si="6"/>
      </c>
      <c r="AS20" s="98"/>
      <c r="AT20" s="55">
        <f t="shared" si="7"/>
      </c>
      <c r="AU20" s="98"/>
      <c r="AV20" s="55">
        <f t="shared" si="8"/>
      </c>
      <c r="AX20" s="100"/>
      <c r="AY20" s="101"/>
      <c r="AZ20" s="102"/>
      <c r="BA20" s="98"/>
      <c r="BB20" s="102"/>
      <c r="BC20" s="98"/>
      <c r="BD20" s="98"/>
      <c r="BE20" s="103"/>
      <c r="BG20" s="100"/>
      <c r="BH20" s="84"/>
      <c r="BI20" s="104"/>
      <c r="CE20" s="69"/>
      <c r="CF20" s="20" t="s">
        <v>142</v>
      </c>
      <c r="CG20" s="106"/>
      <c r="CH20" s="106"/>
      <c r="CI20" s="286"/>
      <c r="CJ20" s="106"/>
      <c r="CK20" s="106"/>
      <c r="CL20" s="20"/>
      <c r="CM20" s="152">
        <f>(AVERAGE(AE34:AE40))</f>
        <v>0.028571428571428574</v>
      </c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3">
        <v>2263240</v>
      </c>
      <c r="D21" s="139">
        <f t="shared" si="0"/>
        <v>2.878</v>
      </c>
      <c r="E21" s="142">
        <v>4.3</v>
      </c>
      <c r="F21" s="143">
        <v>0.8</v>
      </c>
      <c r="G21" s="184" t="str">
        <f t="shared" si="1"/>
        <v>0.00</v>
      </c>
      <c r="H21" s="113">
        <v>3300</v>
      </c>
      <c r="I21" s="114">
        <v>7500</v>
      </c>
      <c r="K21" s="115" t="s">
        <v>210</v>
      </c>
      <c r="L21" s="113">
        <v>31</v>
      </c>
      <c r="M21" s="116">
        <v>0</v>
      </c>
      <c r="O21" s="117"/>
      <c r="Q21" s="108"/>
      <c r="R21" s="153"/>
      <c r="S21" s="109"/>
      <c r="U21" s="118">
        <v>7.1</v>
      </c>
      <c r="V21" s="119">
        <v>7</v>
      </c>
      <c r="W21" s="120">
        <v>7</v>
      </c>
      <c r="Y21" s="121">
        <v>15</v>
      </c>
      <c r="Z21" s="122">
        <v>14</v>
      </c>
      <c r="AA21" s="123">
        <v>14</v>
      </c>
      <c r="AC21" s="118">
        <v>6.5</v>
      </c>
      <c r="AD21" s="124">
        <v>0.1</v>
      </c>
      <c r="AE21" s="125">
        <v>0.1</v>
      </c>
      <c r="AG21" s="45">
        <f t="shared" si="2"/>
        <v>10</v>
      </c>
      <c r="AI21" s="126"/>
      <c r="AJ21" s="65">
        <f t="shared" si="3"/>
      </c>
      <c r="AK21" s="126"/>
      <c r="AL21" s="65">
        <f t="shared" si="4"/>
      </c>
      <c r="AM21" s="126"/>
      <c r="AN21" s="65">
        <f t="shared" si="5"/>
      </c>
      <c r="AO21" s="127"/>
      <c r="AQ21" s="128"/>
      <c r="AR21" s="65">
        <f t="shared" si="6"/>
      </c>
      <c r="AS21" s="126"/>
      <c r="AT21" s="65">
        <f t="shared" si="7"/>
      </c>
      <c r="AU21" s="126"/>
      <c r="AV21" s="65">
        <f t="shared" si="8"/>
      </c>
      <c r="AX21" s="128">
        <v>55649</v>
      </c>
      <c r="AY21" s="129">
        <v>4</v>
      </c>
      <c r="AZ21" s="130">
        <v>3.75</v>
      </c>
      <c r="BA21" s="126">
        <v>37.2</v>
      </c>
      <c r="BB21" s="130">
        <v>28</v>
      </c>
      <c r="BC21" s="126">
        <v>24</v>
      </c>
      <c r="BD21" s="126"/>
      <c r="BE21" s="131"/>
      <c r="BG21" s="128">
        <v>24</v>
      </c>
      <c r="BH21" s="111" t="s">
        <v>229</v>
      </c>
      <c r="BI21" s="132" t="s">
        <v>230</v>
      </c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5">
        <v>2266061</v>
      </c>
      <c r="D22" s="138">
        <f t="shared" si="0"/>
        <v>2.821</v>
      </c>
      <c r="E22" s="140">
        <v>4.2</v>
      </c>
      <c r="F22" s="141">
        <v>0.8</v>
      </c>
      <c r="G22" s="81" t="str">
        <f t="shared" si="1"/>
        <v>0.00</v>
      </c>
      <c r="H22" s="85">
        <v>0</v>
      </c>
      <c r="I22" s="86">
        <v>3000</v>
      </c>
      <c r="K22" s="87" t="s">
        <v>210</v>
      </c>
      <c r="L22" s="85">
        <v>36</v>
      </c>
      <c r="M22" s="88">
        <v>0.06</v>
      </c>
      <c r="O22" s="107"/>
      <c r="Q22" s="108" t="s">
        <v>4</v>
      </c>
      <c r="R22" s="153" t="s">
        <v>4</v>
      </c>
      <c r="S22" s="109" t="s">
        <v>4</v>
      </c>
      <c r="U22" s="93">
        <v>7</v>
      </c>
      <c r="V22" s="94">
        <v>7</v>
      </c>
      <c r="W22" s="95">
        <v>7.1</v>
      </c>
      <c r="Y22" s="90">
        <v>15</v>
      </c>
      <c r="Z22" s="96">
        <v>14</v>
      </c>
      <c r="AA22" s="92">
        <v>13</v>
      </c>
      <c r="AC22" s="93">
        <v>2.5</v>
      </c>
      <c r="AD22" s="91">
        <v>0.01</v>
      </c>
      <c r="AE22" s="97">
        <v>0</v>
      </c>
      <c r="AG22" s="45">
        <f t="shared" si="2"/>
        <v>11</v>
      </c>
      <c r="AI22" s="98"/>
      <c r="AJ22" s="55">
        <f t="shared" si="3"/>
      </c>
      <c r="AK22" s="98"/>
      <c r="AL22" s="55">
        <f t="shared" si="4"/>
      </c>
      <c r="AM22" s="98"/>
      <c r="AN22" s="55">
        <f t="shared" si="5"/>
      </c>
      <c r="AO22" s="110"/>
      <c r="AQ22" s="100"/>
      <c r="AR22" s="55">
        <f t="shared" si="6"/>
      </c>
      <c r="AS22" s="98"/>
      <c r="AT22" s="55">
        <f t="shared" si="7"/>
      </c>
      <c r="AU22" s="98"/>
      <c r="AV22" s="55">
        <f t="shared" si="8"/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86">
        <f>(IF(((SUM(AV12:AV42))=0)," ",(AVERAGE(AV12:AV42))))</f>
        <v>743.5172550000001</v>
      </c>
      <c r="BR22" s="186">
        <f>MAX(AV12:AV42)</f>
        <v>999.1987200000001</v>
      </c>
      <c r="BS22" s="26" t="s">
        <v>126</v>
      </c>
      <c r="BT22" s="26"/>
      <c r="BU22" s="186">
        <f>(IF(((SUM(AU12:AU42))=0)," ",(AVERAGE(AU12:AU42))))</f>
        <v>30.166666666666668</v>
      </c>
      <c r="BV22" s="58">
        <f>(CJ23)</f>
        <v>34.333333333333336</v>
      </c>
      <c r="BW22" s="186">
        <f>MAX(AU12:AU42)</f>
        <v>39</v>
      </c>
      <c r="BX22" s="26" t="s">
        <v>128</v>
      </c>
      <c r="BY22" s="26"/>
      <c r="BZ22" s="26">
        <v>0</v>
      </c>
      <c r="CA22" s="267" t="s">
        <v>47</v>
      </c>
      <c r="CB22" s="26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5">
        <v>2268817</v>
      </c>
      <c r="D23" s="138">
        <f t="shared" si="0"/>
        <v>2.756</v>
      </c>
      <c r="E23" s="140">
        <v>4.2</v>
      </c>
      <c r="F23" s="141">
        <v>0.9</v>
      </c>
      <c r="G23" s="81" t="str">
        <f t="shared" si="1"/>
        <v>0.00</v>
      </c>
      <c r="H23" s="85">
        <v>7800</v>
      </c>
      <c r="I23" s="86">
        <v>10000</v>
      </c>
      <c r="K23" s="87" t="s">
        <v>208</v>
      </c>
      <c r="L23" s="85">
        <v>42</v>
      </c>
      <c r="M23" s="88">
        <v>0.01</v>
      </c>
      <c r="O23" s="107"/>
      <c r="Q23" s="108"/>
      <c r="R23" s="153"/>
      <c r="S23" s="109"/>
      <c r="U23" s="93">
        <v>7.13</v>
      </c>
      <c r="V23" s="94">
        <v>7.03</v>
      </c>
      <c r="W23" s="95">
        <v>6.98</v>
      </c>
      <c r="Y23" s="90">
        <v>15</v>
      </c>
      <c r="Z23" s="96">
        <v>15</v>
      </c>
      <c r="AA23" s="92">
        <v>15</v>
      </c>
      <c r="AC23" s="93">
        <v>8</v>
      </c>
      <c r="AD23" s="91">
        <v>0.01</v>
      </c>
      <c r="AE23" s="97">
        <v>0.01</v>
      </c>
      <c r="AG23" s="45">
        <f t="shared" si="2"/>
        <v>12</v>
      </c>
      <c r="AI23" s="98">
        <v>263</v>
      </c>
      <c r="AJ23" s="55">
        <f t="shared" si="3"/>
        <v>6045.06552</v>
      </c>
      <c r="AK23" s="98"/>
      <c r="AL23" s="55">
        <f t="shared" si="4"/>
      </c>
      <c r="AM23" s="98">
        <v>21</v>
      </c>
      <c r="AN23" s="55">
        <f t="shared" si="5"/>
        <v>482.68584</v>
      </c>
      <c r="AO23" s="110">
        <v>14</v>
      </c>
      <c r="AQ23" s="100">
        <v>380</v>
      </c>
      <c r="AR23" s="55">
        <f t="shared" si="6"/>
        <v>8734.3152</v>
      </c>
      <c r="AS23" s="98"/>
      <c r="AT23" s="55">
        <f t="shared" si="7"/>
      </c>
      <c r="AU23" s="98">
        <v>30</v>
      </c>
      <c r="AV23" s="55">
        <f t="shared" si="8"/>
        <v>689.5511999999999</v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68">
        <v>963</v>
      </c>
      <c r="BR23" s="268">
        <v>1605</v>
      </c>
      <c r="BS23" s="155" t="s">
        <v>126</v>
      </c>
      <c r="BT23" s="26"/>
      <c r="BU23" s="268">
        <v>30</v>
      </c>
      <c r="BV23" s="269">
        <v>45</v>
      </c>
      <c r="BW23" s="268">
        <v>50</v>
      </c>
      <c r="BX23" s="155" t="s">
        <v>128</v>
      </c>
      <c r="BY23" s="26"/>
      <c r="BZ23" s="270" t="s">
        <v>150</v>
      </c>
      <c r="CA23" s="271" t="s">
        <v>47</v>
      </c>
      <c r="CB23" s="155">
        <v>24</v>
      </c>
      <c r="CC23" s="137"/>
      <c r="CE23" s="69"/>
      <c r="CF23" s="72" t="s">
        <v>53</v>
      </c>
      <c r="CG23" s="186">
        <f>(IF(((SUM(CG12:CG20))=0)," ",(MAX(CG12:CG20))))</f>
        <v>25.333333333333332</v>
      </c>
      <c r="CH23" s="186">
        <f>(IF(((SUM(CH12:CH20))=0)," ",(MAX(CH12:CH20))))</f>
        <v>590.58598</v>
      </c>
      <c r="CI23" s="186"/>
      <c r="CJ23" s="186">
        <f>(IF(((SUM(CJ12:CJ20))=0)," ",(MAX(CJ12:CJ20))))</f>
        <v>34.333333333333336</v>
      </c>
      <c r="CK23" s="186">
        <f>(IF(((SUM(CK12:CK20))=0)," ",(MAX(CK12:CK20))))</f>
        <v>816.9947400000001</v>
      </c>
      <c r="CL23" s="71"/>
      <c r="CM23" s="60">
        <f>(MAX(CM12:CM20))</f>
        <v>0.028571428571428574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5">
        <v>2271612</v>
      </c>
      <c r="D24" s="138">
        <f t="shared" si="0"/>
        <v>2.795</v>
      </c>
      <c r="E24" s="140">
        <v>4.2</v>
      </c>
      <c r="F24" s="141">
        <v>0.8</v>
      </c>
      <c r="G24" s="81" t="str">
        <f t="shared" si="1"/>
        <v>0.00</v>
      </c>
      <c r="H24" s="85">
        <v>6500</v>
      </c>
      <c r="I24" s="86">
        <v>10000</v>
      </c>
      <c r="K24" s="87" t="s">
        <v>208</v>
      </c>
      <c r="L24" s="85">
        <v>47</v>
      </c>
      <c r="M24" s="88">
        <v>0.43</v>
      </c>
      <c r="O24" s="107"/>
      <c r="Q24" s="108" t="s">
        <v>10</v>
      </c>
      <c r="R24" s="153" t="s">
        <v>10</v>
      </c>
      <c r="S24" s="109" t="s">
        <v>10</v>
      </c>
      <c r="U24" s="93">
        <v>6.96</v>
      </c>
      <c r="V24" s="94">
        <v>6.99</v>
      </c>
      <c r="W24" s="95">
        <v>6.92</v>
      </c>
      <c r="Y24" s="90">
        <v>14.9</v>
      </c>
      <c r="Z24" s="96">
        <v>14.5</v>
      </c>
      <c r="AA24" s="92">
        <v>15.2</v>
      </c>
      <c r="AC24" s="93">
        <v>3</v>
      </c>
      <c r="AD24" s="91">
        <v>0.01</v>
      </c>
      <c r="AE24" s="97">
        <v>0</v>
      </c>
      <c r="AG24" s="45">
        <f t="shared" si="2"/>
        <v>13</v>
      </c>
      <c r="AI24" s="98">
        <v>248</v>
      </c>
      <c r="AJ24" s="55">
        <f t="shared" si="3"/>
        <v>5780.9544</v>
      </c>
      <c r="AK24" s="98"/>
      <c r="AL24" s="55">
        <f t="shared" si="4"/>
      </c>
      <c r="AM24" s="98">
        <v>25</v>
      </c>
      <c r="AN24" s="55">
        <f t="shared" si="5"/>
        <v>582.7574999999999</v>
      </c>
      <c r="AO24" s="110">
        <v>15</v>
      </c>
      <c r="AQ24" s="100">
        <v>324</v>
      </c>
      <c r="AR24" s="55">
        <f t="shared" si="6"/>
        <v>7552.537199999999</v>
      </c>
      <c r="AS24" s="98"/>
      <c r="AT24" s="55">
        <f t="shared" si="7"/>
      </c>
      <c r="AU24" s="98">
        <v>31</v>
      </c>
      <c r="AV24" s="55">
        <f t="shared" si="8"/>
        <v>722.6193</v>
      </c>
      <c r="AX24" s="100">
        <v>51676</v>
      </c>
      <c r="AY24" s="101">
        <v>3</v>
      </c>
      <c r="AZ24" s="102">
        <v>3.5</v>
      </c>
      <c r="BA24" s="98">
        <v>34.1</v>
      </c>
      <c r="BB24" s="102">
        <v>29</v>
      </c>
      <c r="BC24" s="98">
        <v>24</v>
      </c>
      <c r="BD24" s="98"/>
      <c r="BE24" s="103"/>
      <c r="BG24" s="100">
        <v>24</v>
      </c>
      <c r="BH24" s="84" t="s">
        <v>229</v>
      </c>
      <c r="BI24" s="104" t="s">
        <v>230</v>
      </c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5">
        <v>2274435</v>
      </c>
      <c r="D25" s="138">
        <f t="shared" si="0"/>
        <v>2.823</v>
      </c>
      <c r="E25" s="140">
        <v>4.4</v>
      </c>
      <c r="F25" s="141">
        <v>0.8</v>
      </c>
      <c r="G25" s="81" t="str">
        <f t="shared" si="1"/>
        <v>0.00</v>
      </c>
      <c r="H25" s="85">
        <v>1000</v>
      </c>
      <c r="I25" s="86">
        <v>10000</v>
      </c>
      <c r="K25" s="87" t="s">
        <v>210</v>
      </c>
      <c r="L25" s="85">
        <v>32</v>
      </c>
      <c r="M25" s="88">
        <v>0.04</v>
      </c>
      <c r="O25" s="107"/>
      <c r="Q25" s="108"/>
      <c r="R25" s="153"/>
      <c r="S25" s="109"/>
      <c r="U25" s="93">
        <v>7.14</v>
      </c>
      <c r="V25" s="94">
        <v>7.06</v>
      </c>
      <c r="W25" s="95">
        <v>7.01</v>
      </c>
      <c r="Y25" s="90">
        <v>14.9</v>
      </c>
      <c r="Z25" s="96">
        <v>13.7</v>
      </c>
      <c r="AA25" s="92">
        <v>13.6</v>
      </c>
      <c r="AC25" s="93">
        <v>5.5</v>
      </c>
      <c r="AD25" s="91">
        <v>0.1</v>
      </c>
      <c r="AE25" s="97">
        <v>0</v>
      </c>
      <c r="AG25" s="45">
        <f t="shared" si="2"/>
        <v>14</v>
      </c>
      <c r="AI25" s="98">
        <v>259</v>
      </c>
      <c r="AJ25" s="55">
        <f t="shared" si="3"/>
        <v>6097.849380000001</v>
      </c>
      <c r="AK25" s="98">
        <v>161</v>
      </c>
      <c r="AL25" s="55">
        <f t="shared" si="4"/>
        <v>3790.55502</v>
      </c>
      <c r="AM25" s="98">
        <v>30</v>
      </c>
      <c r="AN25" s="55">
        <f t="shared" si="5"/>
        <v>706.3145999999999</v>
      </c>
      <c r="AO25" s="110">
        <v>13</v>
      </c>
      <c r="AQ25" s="100">
        <v>278</v>
      </c>
      <c r="AR25" s="55">
        <f t="shared" si="6"/>
        <v>6545.18196</v>
      </c>
      <c r="AS25" s="98">
        <v>82</v>
      </c>
      <c r="AT25" s="55">
        <f t="shared" si="7"/>
        <v>1930.59324</v>
      </c>
      <c r="AU25" s="98">
        <v>32</v>
      </c>
      <c r="AV25" s="55">
        <f t="shared" si="8"/>
        <v>753.40224</v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3">
        <v>2277233</v>
      </c>
      <c r="D26" s="139">
        <f t="shared" si="0"/>
        <v>2.798</v>
      </c>
      <c r="E26" s="142">
        <v>4.1</v>
      </c>
      <c r="F26" s="143">
        <v>0.8</v>
      </c>
      <c r="G26" s="184" t="str">
        <f t="shared" si="1"/>
        <v>0.00</v>
      </c>
      <c r="H26" s="113">
        <v>0</v>
      </c>
      <c r="I26" s="114">
        <v>2000</v>
      </c>
      <c r="K26" s="115" t="s">
        <v>210</v>
      </c>
      <c r="L26" s="113">
        <v>30</v>
      </c>
      <c r="M26" s="116">
        <v>0</v>
      </c>
      <c r="O26" s="117"/>
      <c r="Q26" s="108" t="s">
        <v>11</v>
      </c>
      <c r="R26" s="153" t="s">
        <v>11</v>
      </c>
      <c r="S26" s="109" t="s">
        <v>11</v>
      </c>
      <c r="U26" s="118">
        <v>7.15</v>
      </c>
      <c r="V26" s="119">
        <v>7.13</v>
      </c>
      <c r="W26" s="120">
        <v>7.05</v>
      </c>
      <c r="Y26" s="121">
        <v>14.7</v>
      </c>
      <c r="Z26" s="122">
        <v>13.6</v>
      </c>
      <c r="AA26" s="123">
        <v>11.9</v>
      </c>
      <c r="AC26" s="118">
        <v>5</v>
      </c>
      <c r="AD26" s="124">
        <v>0.01</v>
      </c>
      <c r="AE26" s="125">
        <v>0</v>
      </c>
      <c r="AG26" s="45">
        <f t="shared" si="2"/>
        <v>15</v>
      </c>
      <c r="AI26" s="126"/>
      <c r="AJ26" s="65">
        <f t="shared" si="3"/>
      </c>
      <c r="AK26" s="126"/>
      <c r="AL26" s="65">
        <f t="shared" si="4"/>
      </c>
      <c r="AM26" s="126"/>
      <c r="AN26" s="65">
        <f t="shared" si="5"/>
      </c>
      <c r="AO26" s="127"/>
      <c r="AQ26" s="128"/>
      <c r="AR26" s="65">
        <f t="shared" si="6"/>
      </c>
      <c r="AS26" s="126"/>
      <c r="AT26" s="65">
        <f t="shared" si="7"/>
      </c>
      <c r="AU26" s="126"/>
      <c r="AV26" s="65">
        <f t="shared" si="8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5">
        <v>2279862</v>
      </c>
      <c r="D27" s="138">
        <f t="shared" si="0"/>
        <v>2.629</v>
      </c>
      <c r="E27" s="140">
        <v>4</v>
      </c>
      <c r="F27" s="141">
        <v>0.8</v>
      </c>
      <c r="G27" s="81" t="str">
        <f t="shared" si="1"/>
        <v>0.00</v>
      </c>
      <c r="H27" s="85">
        <v>0</v>
      </c>
      <c r="I27" s="86">
        <v>0</v>
      </c>
      <c r="K27" s="87" t="s">
        <v>210</v>
      </c>
      <c r="L27" s="85">
        <v>34</v>
      </c>
      <c r="M27" s="88">
        <v>0</v>
      </c>
      <c r="O27" s="107"/>
      <c r="Q27" s="108"/>
      <c r="R27" s="153"/>
      <c r="S27" s="109"/>
      <c r="U27" s="93">
        <v>7.14</v>
      </c>
      <c r="V27" s="94">
        <v>7.02</v>
      </c>
      <c r="W27" s="95">
        <v>7.04</v>
      </c>
      <c r="Y27" s="90">
        <v>14.3</v>
      </c>
      <c r="Z27" s="96">
        <v>12.5</v>
      </c>
      <c r="AA27" s="92">
        <v>12.3</v>
      </c>
      <c r="AC27" s="93">
        <v>4.5</v>
      </c>
      <c r="AD27" s="91">
        <v>0.01</v>
      </c>
      <c r="AE27" s="97">
        <v>0</v>
      </c>
      <c r="AG27" s="45">
        <f t="shared" si="2"/>
        <v>16</v>
      </c>
      <c r="AI27" s="98"/>
      <c r="AJ27" s="55">
        <f t="shared" si="3"/>
      </c>
      <c r="AK27" s="98"/>
      <c r="AL27" s="55">
        <f t="shared" si="4"/>
      </c>
      <c r="AM27" s="98"/>
      <c r="AN27" s="55">
        <f t="shared" si="5"/>
      </c>
      <c r="AO27" s="110"/>
      <c r="AQ27" s="100"/>
      <c r="AR27" s="55">
        <f t="shared" si="6"/>
      </c>
      <c r="AS27" s="98"/>
      <c r="AT27" s="55">
        <f t="shared" si="7"/>
      </c>
      <c r="AU27" s="98"/>
      <c r="AV27" s="55">
        <f t="shared" si="8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5">
        <v>2282414</v>
      </c>
      <c r="D28" s="138">
        <f t="shared" si="0"/>
        <v>2.552</v>
      </c>
      <c r="E28" s="140">
        <v>4</v>
      </c>
      <c r="F28" s="141">
        <v>0.8</v>
      </c>
      <c r="G28" s="81" t="str">
        <f t="shared" si="1"/>
        <v>0.00</v>
      </c>
      <c r="H28" s="85">
        <v>2500</v>
      </c>
      <c r="I28" s="86">
        <v>4500</v>
      </c>
      <c r="K28" s="87" t="s">
        <v>210</v>
      </c>
      <c r="L28" s="85">
        <v>33</v>
      </c>
      <c r="M28" s="88">
        <v>0</v>
      </c>
      <c r="O28" s="107"/>
      <c r="Q28" s="108"/>
      <c r="R28" s="153"/>
      <c r="S28" s="109"/>
      <c r="U28" s="93">
        <v>7.04</v>
      </c>
      <c r="V28" s="94">
        <v>6.97</v>
      </c>
      <c r="W28" s="95">
        <v>6.92</v>
      </c>
      <c r="Y28" s="90">
        <v>14.8</v>
      </c>
      <c r="Z28" s="96">
        <v>14.2</v>
      </c>
      <c r="AA28" s="92">
        <v>14.2</v>
      </c>
      <c r="AC28" s="93">
        <v>5</v>
      </c>
      <c r="AD28" s="91">
        <v>0.01</v>
      </c>
      <c r="AE28" s="97">
        <v>0</v>
      </c>
      <c r="AG28" s="45">
        <f t="shared" si="2"/>
        <v>17</v>
      </c>
      <c r="AI28" s="98"/>
      <c r="AJ28" s="55">
        <f t="shared" si="3"/>
      </c>
      <c r="AK28" s="98"/>
      <c r="AL28" s="55">
        <f t="shared" si="4"/>
      </c>
      <c r="AM28" s="98"/>
      <c r="AN28" s="55">
        <f t="shared" si="5"/>
      </c>
      <c r="AO28" s="110"/>
      <c r="AQ28" s="100"/>
      <c r="AR28" s="55">
        <f t="shared" si="6"/>
      </c>
      <c r="AS28" s="98"/>
      <c r="AT28" s="55">
        <f t="shared" si="7"/>
      </c>
      <c r="AU28" s="98"/>
      <c r="AV28" s="55">
        <f t="shared" si="8"/>
      </c>
      <c r="AX28" s="100">
        <v>57909</v>
      </c>
      <c r="AY28" s="101">
        <v>3</v>
      </c>
      <c r="AZ28" s="102">
        <v>3.75</v>
      </c>
      <c r="BA28" s="98">
        <v>37.2</v>
      </c>
      <c r="BB28" s="102">
        <v>27</v>
      </c>
      <c r="BC28" s="98">
        <v>24</v>
      </c>
      <c r="BD28" s="98"/>
      <c r="BE28" s="103"/>
      <c r="BG28" s="100">
        <v>24</v>
      </c>
      <c r="BH28" s="84" t="s">
        <v>229</v>
      </c>
      <c r="BI28" s="104" t="s">
        <v>230</v>
      </c>
      <c r="BK28" s="17"/>
      <c r="BL28" s="19"/>
      <c r="BM28" s="56" t="s">
        <v>9</v>
      </c>
      <c r="BN28" s="20"/>
      <c r="BO28" s="57" t="s">
        <v>130</v>
      </c>
      <c r="BP28" s="26"/>
      <c r="BQ28" s="272" t="s">
        <v>150</v>
      </c>
      <c r="BR28" s="272" t="s">
        <v>150</v>
      </c>
      <c r="BS28" s="272" t="s">
        <v>150</v>
      </c>
      <c r="BT28" s="272"/>
      <c r="BU28" s="272" t="s">
        <v>150</v>
      </c>
      <c r="BV28" s="71">
        <f>(CM23)</f>
        <v>0.028571428571428574</v>
      </c>
      <c r="BW28" s="71">
        <f>MAX(AE12:AE42)</f>
        <v>0.1</v>
      </c>
      <c r="BX28" s="26" t="s">
        <v>128</v>
      </c>
      <c r="BY28" s="26"/>
      <c r="BZ28" s="26">
        <v>0</v>
      </c>
      <c r="CA28" s="267" t="s">
        <v>48</v>
      </c>
      <c r="CB28" s="26" t="s">
        <v>23</v>
      </c>
      <c r="CC28" s="137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5">
        <v>2284978</v>
      </c>
      <c r="D29" s="138">
        <f t="shared" si="0"/>
        <v>2.564</v>
      </c>
      <c r="E29" s="140">
        <v>4.4</v>
      </c>
      <c r="F29" s="141">
        <v>0.7</v>
      </c>
      <c r="G29" s="81" t="str">
        <f t="shared" si="1"/>
        <v>0.00</v>
      </c>
      <c r="H29" s="85">
        <v>1000</v>
      </c>
      <c r="I29" s="86">
        <v>5750</v>
      </c>
      <c r="K29" s="87" t="s">
        <v>210</v>
      </c>
      <c r="L29" s="85">
        <v>35</v>
      </c>
      <c r="M29" s="88">
        <v>0</v>
      </c>
      <c r="O29" s="107"/>
      <c r="Q29" s="108"/>
      <c r="R29" s="153"/>
      <c r="S29" s="109"/>
      <c r="U29" s="93">
        <v>7.05</v>
      </c>
      <c r="V29" s="94">
        <v>7.02</v>
      </c>
      <c r="W29" s="95">
        <v>6.91</v>
      </c>
      <c r="Y29" s="90">
        <v>14.5</v>
      </c>
      <c r="Z29" s="96">
        <v>14.2</v>
      </c>
      <c r="AA29" s="92">
        <v>14.2</v>
      </c>
      <c r="AC29" s="93">
        <v>4.5</v>
      </c>
      <c r="AD29" s="91">
        <v>0.01</v>
      </c>
      <c r="AE29" s="97">
        <v>0</v>
      </c>
      <c r="AG29" s="45">
        <f t="shared" si="2"/>
        <v>18</v>
      </c>
      <c r="AI29" s="98"/>
      <c r="AJ29" s="55">
        <f t="shared" si="3"/>
      </c>
      <c r="AK29" s="98"/>
      <c r="AL29" s="55">
        <f t="shared" si="4"/>
      </c>
      <c r="AM29" s="98"/>
      <c r="AN29" s="55">
        <f t="shared" si="5"/>
      </c>
      <c r="AO29" s="110"/>
      <c r="AQ29" s="100"/>
      <c r="AR29" s="55">
        <f t="shared" si="6"/>
      </c>
      <c r="AS29" s="98"/>
      <c r="AT29" s="55">
        <f t="shared" si="7"/>
      </c>
      <c r="AU29" s="98"/>
      <c r="AV29" s="55">
        <f t="shared" si="8"/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70" t="s">
        <v>150</v>
      </c>
      <c r="BR29" s="270" t="s">
        <v>150</v>
      </c>
      <c r="BS29" s="270" t="s">
        <v>150</v>
      </c>
      <c r="BT29" s="272"/>
      <c r="BU29" s="270" t="s">
        <v>150</v>
      </c>
      <c r="BV29" s="155" t="s">
        <v>146</v>
      </c>
      <c r="BW29" s="155">
        <v>0.3</v>
      </c>
      <c r="BX29" s="155" t="s">
        <v>128</v>
      </c>
      <c r="BY29" s="26"/>
      <c r="BZ29" s="270" t="s">
        <v>150</v>
      </c>
      <c r="CA29" s="271" t="s">
        <v>48</v>
      </c>
      <c r="CB29" s="155" t="s">
        <v>23</v>
      </c>
      <c r="CC29" s="137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5">
        <v>2287583</v>
      </c>
      <c r="D30" s="138">
        <f t="shared" si="0"/>
        <v>2.605</v>
      </c>
      <c r="E30" s="140">
        <v>4.2</v>
      </c>
      <c r="F30" s="141">
        <v>0.8</v>
      </c>
      <c r="G30" s="81" t="str">
        <f t="shared" si="1"/>
        <v>0.00</v>
      </c>
      <c r="H30" s="85">
        <v>2100</v>
      </c>
      <c r="I30" s="86">
        <v>9500</v>
      </c>
      <c r="K30" s="87" t="s">
        <v>208</v>
      </c>
      <c r="L30" s="85">
        <v>47</v>
      </c>
      <c r="M30" s="88">
        <v>0.03</v>
      </c>
      <c r="O30" s="107"/>
      <c r="Q30" s="108" t="s">
        <v>12</v>
      </c>
      <c r="R30" s="153" t="s">
        <v>12</v>
      </c>
      <c r="S30" s="109" t="s">
        <v>12</v>
      </c>
      <c r="U30" s="93">
        <v>7.33</v>
      </c>
      <c r="V30" s="94">
        <v>7.1</v>
      </c>
      <c r="W30" s="95">
        <v>6.69</v>
      </c>
      <c r="Y30" s="90">
        <v>15.2</v>
      </c>
      <c r="Z30" s="96">
        <v>14.7</v>
      </c>
      <c r="AA30" s="92">
        <v>15.2</v>
      </c>
      <c r="AC30" s="93">
        <v>6</v>
      </c>
      <c r="AD30" s="91">
        <v>0.1</v>
      </c>
      <c r="AE30" s="97">
        <v>0.01</v>
      </c>
      <c r="AG30" s="45">
        <f t="shared" si="2"/>
        <v>19</v>
      </c>
      <c r="AI30" s="98">
        <v>269</v>
      </c>
      <c r="AJ30" s="55">
        <f t="shared" si="3"/>
        <v>5844.2133</v>
      </c>
      <c r="AK30" s="98"/>
      <c r="AL30" s="55">
        <f t="shared" si="4"/>
      </c>
      <c r="AM30" s="98">
        <v>20</v>
      </c>
      <c r="AN30" s="55">
        <f t="shared" si="5"/>
        <v>434.514</v>
      </c>
      <c r="AO30" s="110">
        <v>13</v>
      </c>
      <c r="AQ30" s="100">
        <v>322</v>
      </c>
      <c r="AR30" s="55">
        <f t="shared" si="6"/>
        <v>6995.675399999999</v>
      </c>
      <c r="AS30" s="98"/>
      <c r="AT30" s="55">
        <f t="shared" si="7"/>
      </c>
      <c r="AU30" s="98">
        <v>33</v>
      </c>
      <c r="AV30" s="55">
        <f t="shared" si="8"/>
        <v>716.9481000000001</v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3">
        <v>2290202</v>
      </c>
      <c r="D31" s="139">
        <f t="shared" si="0"/>
        <v>2.619</v>
      </c>
      <c r="E31" s="142">
        <v>6.6</v>
      </c>
      <c r="F31" s="143">
        <v>1.2</v>
      </c>
      <c r="G31" s="184" t="str">
        <f t="shared" si="1"/>
        <v>0.00</v>
      </c>
      <c r="H31" s="113">
        <v>5000</v>
      </c>
      <c r="I31" s="114">
        <v>9500</v>
      </c>
      <c r="K31" s="115" t="s">
        <v>208</v>
      </c>
      <c r="L31" s="113">
        <v>51</v>
      </c>
      <c r="M31" s="116">
        <v>1.25</v>
      </c>
      <c r="O31" s="117"/>
      <c r="Q31" s="108"/>
      <c r="R31" s="153"/>
      <c r="S31" s="109"/>
      <c r="U31" s="118">
        <v>7.17</v>
      </c>
      <c r="V31" s="119">
        <v>7.04</v>
      </c>
      <c r="W31" s="120">
        <v>6.62</v>
      </c>
      <c r="Y31" s="121">
        <v>14.9</v>
      </c>
      <c r="Z31" s="122">
        <v>14.6</v>
      </c>
      <c r="AA31" s="123">
        <v>15.5</v>
      </c>
      <c r="AC31" s="118">
        <v>6</v>
      </c>
      <c r="AD31" s="124">
        <v>0.01</v>
      </c>
      <c r="AE31" s="125">
        <v>0</v>
      </c>
      <c r="AG31" s="45">
        <f t="shared" si="2"/>
        <v>20</v>
      </c>
      <c r="AI31" s="126">
        <v>269</v>
      </c>
      <c r="AJ31" s="65">
        <f t="shared" si="3"/>
        <v>5875.6217400000005</v>
      </c>
      <c r="AK31" s="126"/>
      <c r="AL31" s="65">
        <f t="shared" si="4"/>
      </c>
      <c r="AM31" s="126">
        <v>23</v>
      </c>
      <c r="AN31" s="65">
        <f t="shared" si="5"/>
        <v>502.37658</v>
      </c>
      <c r="AO31" s="127">
        <v>16</v>
      </c>
      <c r="AQ31" s="128">
        <v>358</v>
      </c>
      <c r="AR31" s="65">
        <f t="shared" si="6"/>
        <v>7819.6006800000005</v>
      </c>
      <c r="AS31" s="126"/>
      <c r="AT31" s="65">
        <f t="shared" si="7"/>
      </c>
      <c r="AU31" s="126">
        <v>34</v>
      </c>
      <c r="AV31" s="65">
        <f t="shared" si="8"/>
        <v>742.64364</v>
      </c>
      <c r="AX31" s="128">
        <v>50945</v>
      </c>
      <c r="AY31" s="129">
        <v>3</v>
      </c>
      <c r="AZ31" s="130">
        <v>3.25</v>
      </c>
      <c r="BA31" s="126">
        <v>37.2</v>
      </c>
      <c r="BB31" s="130">
        <v>28</v>
      </c>
      <c r="BC31" s="126">
        <v>24</v>
      </c>
      <c r="BD31" s="126"/>
      <c r="BE31" s="131"/>
      <c r="BG31" s="128">
        <v>24</v>
      </c>
      <c r="BH31" s="111" t="s">
        <v>229</v>
      </c>
      <c r="BI31" s="132" t="s">
        <v>230</v>
      </c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5">
        <v>2293504</v>
      </c>
      <c r="D32" s="138">
        <f t="shared" si="0"/>
        <v>3.302</v>
      </c>
      <c r="E32" s="140">
        <v>5.6</v>
      </c>
      <c r="F32" s="141">
        <v>1.5</v>
      </c>
      <c r="G32" s="81" t="str">
        <f t="shared" si="1"/>
        <v>0.00</v>
      </c>
      <c r="H32" s="85">
        <v>4500</v>
      </c>
      <c r="I32" s="86">
        <v>10000</v>
      </c>
      <c r="K32" s="87" t="s">
        <v>208</v>
      </c>
      <c r="L32" s="85">
        <v>45</v>
      </c>
      <c r="M32" s="88">
        <v>0.65</v>
      </c>
      <c r="O32" s="107"/>
      <c r="Q32" s="108" t="s">
        <v>13</v>
      </c>
      <c r="R32" s="153" t="s">
        <v>13</v>
      </c>
      <c r="S32" s="109" t="s">
        <v>13</v>
      </c>
      <c r="U32" s="93">
        <v>7.05</v>
      </c>
      <c r="V32" s="94">
        <v>7.04</v>
      </c>
      <c r="W32" s="95">
        <v>6.89</v>
      </c>
      <c r="Y32" s="90">
        <v>13.7</v>
      </c>
      <c r="Z32" s="96">
        <v>13.5</v>
      </c>
      <c r="AA32" s="92">
        <v>14.9</v>
      </c>
      <c r="AC32" s="93">
        <v>4</v>
      </c>
      <c r="AD32" s="91">
        <v>0.1</v>
      </c>
      <c r="AE32" s="97">
        <v>0</v>
      </c>
      <c r="AG32" s="45">
        <f t="shared" si="2"/>
        <v>21</v>
      </c>
      <c r="AI32" s="98">
        <v>216</v>
      </c>
      <c r="AJ32" s="55">
        <f t="shared" si="3"/>
        <v>5948.35488</v>
      </c>
      <c r="AK32" s="98">
        <v>145</v>
      </c>
      <c r="AL32" s="55">
        <f t="shared" si="4"/>
        <v>3993.1086</v>
      </c>
      <c r="AM32" s="98">
        <v>26</v>
      </c>
      <c r="AN32" s="55">
        <f t="shared" si="5"/>
        <v>716.00568</v>
      </c>
      <c r="AO32" s="110">
        <v>16</v>
      </c>
      <c r="AQ32" s="100">
        <v>254</v>
      </c>
      <c r="AR32" s="55">
        <f t="shared" si="6"/>
        <v>6994.82472</v>
      </c>
      <c r="AS32" s="98">
        <v>86</v>
      </c>
      <c r="AT32" s="55">
        <f t="shared" si="7"/>
        <v>2368.3264799999997</v>
      </c>
      <c r="AU32" s="98">
        <v>36</v>
      </c>
      <c r="AV32" s="55">
        <f t="shared" si="8"/>
        <v>991.39248</v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5">
        <v>2297017</v>
      </c>
      <c r="D33" s="138">
        <f t="shared" si="0"/>
        <v>3.513</v>
      </c>
      <c r="E33" s="140">
        <v>5.4</v>
      </c>
      <c r="F33" s="141">
        <v>1.5</v>
      </c>
      <c r="G33" s="81" t="str">
        <f t="shared" si="1"/>
        <v>0.00</v>
      </c>
      <c r="H33" s="85">
        <v>0</v>
      </c>
      <c r="I33" s="86">
        <v>0</v>
      </c>
      <c r="K33" s="87" t="s">
        <v>210</v>
      </c>
      <c r="L33" s="85">
        <v>43</v>
      </c>
      <c r="M33" s="88">
        <v>0.01</v>
      </c>
      <c r="O33" s="107"/>
      <c r="Q33" s="108"/>
      <c r="R33" s="153"/>
      <c r="S33" s="109"/>
      <c r="U33" s="93">
        <v>6.96</v>
      </c>
      <c r="V33" s="94">
        <v>6.97</v>
      </c>
      <c r="W33" s="95">
        <v>6.8</v>
      </c>
      <c r="Y33" s="90">
        <v>13.8</v>
      </c>
      <c r="Z33" s="96">
        <v>13.3</v>
      </c>
      <c r="AA33" s="92">
        <v>14</v>
      </c>
      <c r="AC33" s="93">
        <v>3</v>
      </c>
      <c r="AD33" s="91">
        <v>0.01</v>
      </c>
      <c r="AE33" s="97">
        <v>0</v>
      </c>
      <c r="AG33" s="45">
        <f t="shared" si="2"/>
        <v>22</v>
      </c>
      <c r="AI33" s="98"/>
      <c r="AJ33" s="55">
        <f t="shared" si="3"/>
      </c>
      <c r="AK33" s="98"/>
      <c r="AL33" s="55">
        <f t="shared" si="4"/>
      </c>
      <c r="AM33" s="98"/>
      <c r="AN33" s="55">
        <f t="shared" si="5"/>
      </c>
      <c r="AO33" s="110"/>
      <c r="AQ33" s="100"/>
      <c r="AR33" s="55">
        <f t="shared" si="6"/>
      </c>
      <c r="AS33" s="98"/>
      <c r="AT33" s="55">
        <f t="shared" si="7"/>
      </c>
      <c r="AU33" s="98"/>
      <c r="AV33" s="55">
        <f t="shared" si="8"/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274">
        <f>(D47)</f>
        <v>2.947266666666667</v>
      </c>
      <c r="BR33" s="274">
        <f>(D45)</f>
        <v>3.513</v>
      </c>
      <c r="BS33" s="26" t="s">
        <v>127</v>
      </c>
      <c r="BT33" s="26"/>
      <c r="BU33" s="272" t="s">
        <v>150</v>
      </c>
      <c r="BV33" s="272" t="s">
        <v>150</v>
      </c>
      <c r="BW33" s="272" t="s">
        <v>150</v>
      </c>
      <c r="BX33" s="272" t="s">
        <v>150</v>
      </c>
      <c r="BY33" s="26"/>
      <c r="BZ33" s="26">
        <v>0</v>
      </c>
      <c r="CA33" s="75" t="s">
        <v>24</v>
      </c>
      <c r="CB33" s="26" t="s">
        <v>25</v>
      </c>
      <c r="CC33" s="137"/>
      <c r="CJ33" s="326" t="s">
        <v>17</v>
      </c>
      <c r="CK33" s="328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5">
        <v>2300314</v>
      </c>
      <c r="D34" s="138">
        <f t="shared" si="0"/>
        <v>3.297</v>
      </c>
      <c r="E34" s="140">
        <v>5</v>
      </c>
      <c r="F34" s="141">
        <v>1.4</v>
      </c>
      <c r="G34" s="81" t="str">
        <f t="shared" si="1"/>
        <v>0.00</v>
      </c>
      <c r="H34" s="85">
        <v>0</v>
      </c>
      <c r="I34" s="86">
        <v>0</v>
      </c>
      <c r="K34" s="87" t="s">
        <v>210</v>
      </c>
      <c r="L34" s="85">
        <v>37</v>
      </c>
      <c r="M34" s="88">
        <v>0</v>
      </c>
      <c r="O34" s="107"/>
      <c r="Q34" s="108" t="s">
        <v>14</v>
      </c>
      <c r="R34" s="153" t="s">
        <v>14</v>
      </c>
      <c r="S34" s="109" t="s">
        <v>14</v>
      </c>
      <c r="U34" s="93">
        <v>6.9</v>
      </c>
      <c r="V34" s="94">
        <v>6.96</v>
      </c>
      <c r="W34" s="95">
        <v>6.94</v>
      </c>
      <c r="Y34" s="90">
        <v>13.8</v>
      </c>
      <c r="Z34" s="96">
        <v>13.3</v>
      </c>
      <c r="AA34" s="92">
        <v>14</v>
      </c>
      <c r="AC34" s="93">
        <v>6</v>
      </c>
      <c r="AD34" s="91">
        <v>0.01</v>
      </c>
      <c r="AE34" s="97">
        <v>0</v>
      </c>
      <c r="AG34" s="45">
        <f t="shared" si="2"/>
        <v>23</v>
      </c>
      <c r="AI34" s="98"/>
      <c r="AJ34" s="55">
        <f t="shared" si="3"/>
      </c>
      <c r="AK34" s="98"/>
      <c r="AL34" s="55">
        <f t="shared" si="4"/>
      </c>
      <c r="AM34" s="98"/>
      <c r="AN34" s="55">
        <f t="shared" si="5"/>
      </c>
      <c r="AO34" s="110"/>
      <c r="AQ34" s="100"/>
      <c r="AR34" s="55">
        <f t="shared" si="6"/>
      </c>
      <c r="AS34" s="98"/>
      <c r="AT34" s="55">
        <f t="shared" si="7"/>
      </c>
      <c r="AU34" s="98"/>
      <c r="AV34" s="55">
        <f t="shared" si="8"/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275">
        <v>3.85</v>
      </c>
      <c r="BR34" s="155" t="s">
        <v>146</v>
      </c>
      <c r="BS34" s="155" t="s">
        <v>127</v>
      </c>
      <c r="BT34" s="26"/>
      <c r="BU34" s="270" t="s">
        <v>150</v>
      </c>
      <c r="BV34" s="270" t="s">
        <v>150</v>
      </c>
      <c r="BW34" s="270" t="s">
        <v>150</v>
      </c>
      <c r="BX34" s="270" t="s">
        <v>150</v>
      </c>
      <c r="BY34" s="26"/>
      <c r="BZ34" s="270" t="s">
        <v>150</v>
      </c>
      <c r="CA34" s="276" t="s">
        <v>24</v>
      </c>
      <c r="CB34" s="155" t="s">
        <v>25</v>
      </c>
      <c r="CC34" s="137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5">
        <v>2303365</v>
      </c>
      <c r="D35" s="138">
        <f t="shared" si="0"/>
        <v>3.051</v>
      </c>
      <c r="E35" s="140">
        <v>4.2</v>
      </c>
      <c r="F35" s="141">
        <v>1</v>
      </c>
      <c r="G35" s="81" t="str">
        <f t="shared" si="1"/>
        <v>0.00</v>
      </c>
      <c r="H35" s="85">
        <v>7200</v>
      </c>
      <c r="I35" s="86">
        <v>9250</v>
      </c>
      <c r="K35" s="87" t="s">
        <v>210</v>
      </c>
      <c r="L35" s="85">
        <v>39</v>
      </c>
      <c r="M35" s="88">
        <v>0.02</v>
      </c>
      <c r="O35" s="107"/>
      <c r="Q35" s="108"/>
      <c r="R35" s="153"/>
      <c r="S35" s="109"/>
      <c r="U35" s="93">
        <v>7.3</v>
      </c>
      <c r="V35" s="94">
        <v>6.68</v>
      </c>
      <c r="W35" s="95">
        <v>6.97</v>
      </c>
      <c r="Y35" s="90">
        <v>14.2</v>
      </c>
      <c r="Z35" s="96">
        <v>13.9</v>
      </c>
      <c r="AA35" s="92">
        <v>13.9</v>
      </c>
      <c r="AC35" s="93">
        <v>6.5</v>
      </c>
      <c r="AD35" s="91">
        <v>0.3</v>
      </c>
      <c r="AE35" s="97">
        <v>0</v>
      </c>
      <c r="AG35" s="45">
        <f t="shared" si="2"/>
        <v>24</v>
      </c>
      <c r="AI35" s="98">
        <v>199</v>
      </c>
      <c r="AJ35" s="55">
        <f t="shared" si="3"/>
        <v>5063.62266</v>
      </c>
      <c r="AK35" s="98"/>
      <c r="AL35" s="55">
        <f t="shared" si="4"/>
      </c>
      <c r="AM35" s="98">
        <v>16</v>
      </c>
      <c r="AN35" s="55">
        <f t="shared" si="5"/>
        <v>407.12544</v>
      </c>
      <c r="AO35" s="110">
        <v>12</v>
      </c>
      <c r="AQ35" s="100">
        <v>194</v>
      </c>
      <c r="AR35" s="55">
        <f t="shared" si="6"/>
        <v>4936.39596</v>
      </c>
      <c r="AS35" s="98"/>
      <c r="AT35" s="55">
        <f t="shared" si="7"/>
      </c>
      <c r="AU35" s="98">
        <v>29</v>
      </c>
      <c r="AV35" s="55">
        <f t="shared" si="8"/>
        <v>737.91486</v>
      </c>
      <c r="AX35" s="100">
        <v>60649</v>
      </c>
      <c r="AY35" s="101">
        <v>3</v>
      </c>
      <c r="AZ35" s="102">
        <v>3.75</v>
      </c>
      <c r="BA35" s="98">
        <v>37</v>
      </c>
      <c r="BB35" s="102">
        <v>29</v>
      </c>
      <c r="BC35" s="98">
        <v>24</v>
      </c>
      <c r="BD35" s="98"/>
      <c r="BE35" s="103"/>
      <c r="BG35" s="100">
        <v>24</v>
      </c>
      <c r="BH35" s="84" t="s">
        <v>229</v>
      </c>
      <c r="BI35" s="104" t="s">
        <v>230</v>
      </c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3">
        <v>2306437</v>
      </c>
      <c r="D36" s="139">
        <f t="shared" si="0"/>
        <v>3.072</v>
      </c>
      <c r="E36" s="142">
        <v>4.6</v>
      </c>
      <c r="F36" s="143">
        <v>0.8</v>
      </c>
      <c r="G36" s="184" t="str">
        <f t="shared" si="1"/>
        <v>0.00</v>
      </c>
      <c r="H36" s="113">
        <v>4500</v>
      </c>
      <c r="I36" s="114">
        <v>10000</v>
      </c>
      <c r="K36" s="115" t="s">
        <v>210</v>
      </c>
      <c r="L36" s="113">
        <v>41</v>
      </c>
      <c r="M36" s="116">
        <v>0.05</v>
      </c>
      <c r="O36" s="117"/>
      <c r="Q36" s="108" t="s">
        <v>12</v>
      </c>
      <c r="R36" s="153" t="s">
        <v>12</v>
      </c>
      <c r="S36" s="109" t="s">
        <v>12</v>
      </c>
      <c r="U36" s="118">
        <v>7.26</v>
      </c>
      <c r="V36" s="119">
        <v>7.08</v>
      </c>
      <c r="W36" s="120">
        <v>6.93</v>
      </c>
      <c r="Y36" s="121">
        <v>14.2</v>
      </c>
      <c r="Z36" s="122">
        <v>13.8</v>
      </c>
      <c r="AA36" s="123">
        <v>12.1</v>
      </c>
      <c r="AC36" s="118">
        <v>6</v>
      </c>
      <c r="AD36" s="124">
        <v>0.1</v>
      </c>
      <c r="AE36" s="125">
        <v>0.1</v>
      </c>
      <c r="AG36" s="45">
        <f t="shared" si="2"/>
        <v>25</v>
      </c>
      <c r="AI36" s="126">
        <v>206</v>
      </c>
      <c r="AJ36" s="65">
        <f t="shared" si="3"/>
        <v>5277.81888</v>
      </c>
      <c r="AK36" s="126"/>
      <c r="AL36" s="65">
        <f t="shared" si="4"/>
      </c>
      <c r="AM36" s="126">
        <v>24</v>
      </c>
      <c r="AN36" s="65">
        <f t="shared" si="5"/>
        <v>614.89152</v>
      </c>
      <c r="AO36" s="127">
        <v>14</v>
      </c>
      <c r="AQ36" s="128">
        <v>180</v>
      </c>
      <c r="AR36" s="65">
        <f t="shared" si="6"/>
        <v>4611.6864000000005</v>
      </c>
      <c r="AS36" s="126"/>
      <c r="AT36" s="65">
        <f t="shared" si="7"/>
      </c>
      <c r="AU36" s="126">
        <v>39</v>
      </c>
      <c r="AV36" s="65">
        <f t="shared" si="8"/>
        <v>999.1987200000001</v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5">
        <v>2309441</v>
      </c>
      <c r="D37" s="138">
        <f t="shared" si="0"/>
        <v>3.004</v>
      </c>
      <c r="E37" s="140">
        <v>4</v>
      </c>
      <c r="F37" s="141">
        <v>0.8</v>
      </c>
      <c r="G37" s="81" t="str">
        <f t="shared" si="1"/>
        <v>0.00</v>
      </c>
      <c r="H37" s="85">
        <v>2800</v>
      </c>
      <c r="I37" s="86">
        <v>10000</v>
      </c>
      <c r="K37" s="87" t="s">
        <v>210</v>
      </c>
      <c r="L37" s="85">
        <v>32</v>
      </c>
      <c r="M37" s="88">
        <v>0</v>
      </c>
      <c r="O37" s="107"/>
      <c r="Q37" s="108"/>
      <c r="R37" s="153"/>
      <c r="S37" s="109"/>
      <c r="U37" s="93">
        <v>6.84</v>
      </c>
      <c r="V37" s="94">
        <v>6.92</v>
      </c>
      <c r="W37" s="95">
        <v>6.66</v>
      </c>
      <c r="Y37" s="90">
        <v>13.9</v>
      </c>
      <c r="Z37" s="96">
        <v>13</v>
      </c>
      <c r="AA37" s="92">
        <v>12.9</v>
      </c>
      <c r="AC37" s="93">
        <v>4</v>
      </c>
      <c r="AD37" s="91">
        <v>0.01</v>
      </c>
      <c r="AE37" s="97">
        <v>0</v>
      </c>
      <c r="AG37" s="45">
        <f t="shared" si="2"/>
        <v>26</v>
      </c>
      <c r="AI37" s="98">
        <v>221</v>
      </c>
      <c r="AJ37" s="55">
        <f t="shared" si="3"/>
        <v>5536.79256</v>
      </c>
      <c r="AK37" s="98"/>
      <c r="AL37" s="55">
        <f t="shared" si="4"/>
      </c>
      <c r="AM37" s="98">
        <v>18</v>
      </c>
      <c r="AN37" s="55">
        <f t="shared" si="5"/>
        <v>450.96048</v>
      </c>
      <c r="AO37" s="110">
        <v>12</v>
      </c>
      <c r="AQ37" s="100">
        <v>222</v>
      </c>
      <c r="AR37" s="55">
        <f t="shared" si="6"/>
        <v>5561.84592</v>
      </c>
      <c r="AS37" s="98"/>
      <c r="AT37" s="55">
        <f t="shared" si="7"/>
      </c>
      <c r="AU37" s="98">
        <v>26</v>
      </c>
      <c r="AV37" s="55">
        <f t="shared" si="8"/>
        <v>651.38736</v>
      </c>
      <c r="AX37" s="100">
        <v>31090</v>
      </c>
      <c r="AY37" s="101">
        <v>4</v>
      </c>
      <c r="AZ37" s="102">
        <v>2.25</v>
      </c>
      <c r="BA37" s="98">
        <v>21.7</v>
      </c>
      <c r="BB37" s="102">
        <v>28</v>
      </c>
      <c r="BC37" s="98">
        <v>12</v>
      </c>
      <c r="BD37" s="98"/>
      <c r="BE37" s="103"/>
      <c r="BG37" s="100">
        <v>12</v>
      </c>
      <c r="BH37" s="84" t="s">
        <v>229</v>
      </c>
      <c r="BI37" s="104" t="s">
        <v>230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6">
        <f>(IF(((SUM(AJ12:AJ42))=0)," ",(((AJ47-(D47*AO47*8.346))/AJ47)*100)))</f>
        <v>94.3266045393132</v>
      </c>
      <c r="CK37" s="3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5">
        <v>2312260</v>
      </c>
      <c r="D38" s="138">
        <f t="shared" si="0"/>
        <v>2.819</v>
      </c>
      <c r="E38" s="140">
        <v>4</v>
      </c>
      <c r="F38" s="141">
        <v>0.8</v>
      </c>
      <c r="G38" s="81" t="str">
        <f t="shared" si="1"/>
        <v>0.00</v>
      </c>
      <c r="H38" s="85">
        <v>0</v>
      </c>
      <c r="I38" s="86">
        <v>0</v>
      </c>
      <c r="K38" s="87" t="s">
        <v>210</v>
      </c>
      <c r="L38" s="85">
        <v>40</v>
      </c>
      <c r="M38" s="88">
        <v>0</v>
      </c>
      <c r="O38" s="107"/>
      <c r="Q38" s="108" t="s">
        <v>10</v>
      </c>
      <c r="R38" s="153" t="s">
        <v>10</v>
      </c>
      <c r="S38" s="109" t="s">
        <v>10</v>
      </c>
      <c r="U38" s="93">
        <v>6.9</v>
      </c>
      <c r="V38" s="94">
        <v>6.92</v>
      </c>
      <c r="W38" s="95">
        <v>6.87</v>
      </c>
      <c r="Y38" s="90">
        <v>13.5</v>
      </c>
      <c r="Z38" s="96">
        <v>13</v>
      </c>
      <c r="AA38" s="92">
        <v>12.6</v>
      </c>
      <c r="AC38" s="93">
        <v>2</v>
      </c>
      <c r="AD38" s="91">
        <v>0.01</v>
      </c>
      <c r="AE38" s="97">
        <v>0</v>
      </c>
      <c r="AG38" s="45">
        <f t="shared" si="2"/>
        <v>27</v>
      </c>
      <c r="AI38" s="98"/>
      <c r="AJ38" s="55">
        <f t="shared" si="3"/>
      </c>
      <c r="AK38" s="98"/>
      <c r="AL38" s="55">
        <f t="shared" si="4"/>
      </c>
      <c r="AM38" s="98"/>
      <c r="AN38" s="55">
        <f t="shared" si="5"/>
      </c>
      <c r="AO38" s="110"/>
      <c r="AQ38" s="100"/>
      <c r="AR38" s="55">
        <f t="shared" si="6"/>
      </c>
      <c r="AS38" s="98"/>
      <c r="AT38" s="55">
        <f t="shared" si="7"/>
      </c>
      <c r="AU38" s="98"/>
      <c r="AV38" s="55">
        <f t="shared" si="8"/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72" t="s">
        <v>150</v>
      </c>
      <c r="BR38" s="272" t="s">
        <v>150</v>
      </c>
      <c r="BS38" s="272" t="s">
        <v>150</v>
      </c>
      <c r="BT38" s="26"/>
      <c r="BU38" s="68">
        <f>(AN49)</f>
        <v>90.95076745477326</v>
      </c>
      <c r="BV38" s="272" t="s">
        <v>150</v>
      </c>
      <c r="BW38" s="272" t="s">
        <v>150</v>
      </c>
      <c r="BX38" s="26" t="s">
        <v>129</v>
      </c>
      <c r="BY38" s="26"/>
      <c r="BZ38" s="26">
        <v>0</v>
      </c>
      <c r="CA38" s="267" t="s">
        <v>49</v>
      </c>
      <c r="CB38" s="26" t="s">
        <v>26</v>
      </c>
      <c r="CC38" s="137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5">
        <v>2314800</v>
      </c>
      <c r="D39" s="138">
        <f t="shared" si="0"/>
        <v>2.54</v>
      </c>
      <c r="E39" s="140">
        <v>4</v>
      </c>
      <c r="F39" s="141">
        <v>1</v>
      </c>
      <c r="G39" s="81" t="str">
        <f t="shared" si="1"/>
        <v>0.00</v>
      </c>
      <c r="H39" s="85">
        <v>0</v>
      </c>
      <c r="I39" s="86">
        <v>3000</v>
      </c>
      <c r="K39" s="87" t="s">
        <v>208</v>
      </c>
      <c r="L39" s="85">
        <v>45</v>
      </c>
      <c r="M39" s="88">
        <v>0.66</v>
      </c>
      <c r="O39" s="107"/>
      <c r="Q39" s="108"/>
      <c r="R39" s="153"/>
      <c r="S39" s="109"/>
      <c r="U39" s="93">
        <v>6.82</v>
      </c>
      <c r="V39" s="94">
        <v>6.82</v>
      </c>
      <c r="W39" s="95">
        <v>6.64</v>
      </c>
      <c r="Y39" s="90">
        <v>13.4</v>
      </c>
      <c r="Z39" s="96">
        <v>13.1</v>
      </c>
      <c r="AA39" s="92">
        <v>13.5</v>
      </c>
      <c r="AC39" s="93">
        <v>4</v>
      </c>
      <c r="AD39" s="91">
        <v>0.1</v>
      </c>
      <c r="AE39" s="97">
        <v>0.1</v>
      </c>
      <c r="AG39" s="45">
        <f t="shared" si="2"/>
        <v>28</v>
      </c>
      <c r="AI39" s="98"/>
      <c r="AJ39" s="55">
        <f t="shared" si="3"/>
      </c>
      <c r="AK39" s="98"/>
      <c r="AL39" s="55">
        <f t="shared" si="4"/>
      </c>
      <c r="AM39" s="98"/>
      <c r="AN39" s="55">
        <f t="shared" si="5"/>
      </c>
      <c r="AO39" s="110"/>
      <c r="AQ39" s="100"/>
      <c r="AR39" s="55">
        <f t="shared" si="6"/>
      </c>
      <c r="AS39" s="98"/>
      <c r="AT39" s="55">
        <f t="shared" si="7"/>
      </c>
      <c r="AU39" s="98"/>
      <c r="AV39" s="55">
        <f t="shared" si="8"/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70" t="s">
        <v>150</v>
      </c>
      <c r="BR39" s="270" t="s">
        <v>150</v>
      </c>
      <c r="BS39" s="270" t="s">
        <v>150</v>
      </c>
      <c r="BT39" s="26"/>
      <c r="BU39" s="273">
        <v>85</v>
      </c>
      <c r="BV39" s="270" t="s">
        <v>150</v>
      </c>
      <c r="BW39" s="270" t="s">
        <v>150</v>
      </c>
      <c r="BX39" s="155" t="s">
        <v>129</v>
      </c>
      <c r="BY39" s="26"/>
      <c r="BZ39" s="270" t="s">
        <v>150</v>
      </c>
      <c r="CA39" s="271" t="s">
        <v>49</v>
      </c>
      <c r="CB39" s="155" t="s">
        <v>26</v>
      </c>
      <c r="CC39" s="137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5">
        <v>2317800</v>
      </c>
      <c r="D40" s="138">
        <f t="shared" si="0"/>
        <v>3</v>
      </c>
      <c r="E40" s="140">
        <v>4.4</v>
      </c>
      <c r="F40" s="141">
        <v>1</v>
      </c>
      <c r="G40" s="81" t="str">
        <f t="shared" si="1"/>
        <v>0.00</v>
      </c>
      <c r="H40" s="85">
        <v>0</v>
      </c>
      <c r="I40" s="86">
        <v>0</v>
      </c>
      <c r="K40" s="87" t="s">
        <v>208</v>
      </c>
      <c r="L40" s="85">
        <v>45</v>
      </c>
      <c r="M40" s="88">
        <v>0.42</v>
      </c>
      <c r="O40" s="107"/>
      <c r="Q40" s="108" t="s">
        <v>15</v>
      </c>
      <c r="R40" s="153" t="s">
        <v>15</v>
      </c>
      <c r="S40" s="109" t="s">
        <v>15</v>
      </c>
      <c r="U40" s="93">
        <v>6.85</v>
      </c>
      <c r="V40" s="94">
        <v>6.96</v>
      </c>
      <c r="W40" s="95">
        <v>6.68</v>
      </c>
      <c r="Y40" s="90">
        <v>13.5</v>
      </c>
      <c r="Z40" s="96">
        <v>13.2</v>
      </c>
      <c r="AA40" s="92">
        <v>13.8</v>
      </c>
      <c r="AC40" s="93">
        <v>2</v>
      </c>
      <c r="AD40" s="91">
        <v>0.01</v>
      </c>
      <c r="AE40" s="97">
        <v>0</v>
      </c>
      <c r="AG40" s="45">
        <f t="shared" si="2"/>
        <v>29</v>
      </c>
      <c r="AI40" s="98"/>
      <c r="AJ40" s="55">
        <f t="shared" si="3"/>
      </c>
      <c r="AK40" s="98"/>
      <c r="AL40" s="55">
        <f t="shared" si="4"/>
      </c>
      <c r="AM40" s="98"/>
      <c r="AN40" s="55">
        <f t="shared" si="5"/>
      </c>
      <c r="AO40" s="110"/>
      <c r="AQ40" s="100"/>
      <c r="AR40" s="55">
        <f t="shared" si="6"/>
      </c>
      <c r="AS40" s="98"/>
      <c r="AT40" s="55">
        <f t="shared" si="7"/>
      </c>
      <c r="AU40" s="98"/>
      <c r="AV40" s="55">
        <f t="shared" si="8"/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5">
        <v>2320819</v>
      </c>
      <c r="D41" s="138">
        <f t="shared" si="0"/>
        <v>3.019</v>
      </c>
      <c r="E41" s="140">
        <v>4.2</v>
      </c>
      <c r="F41" s="141">
        <v>1</v>
      </c>
      <c r="G41" s="81" t="str">
        <f t="shared" si="1"/>
        <v>0.00</v>
      </c>
      <c r="H41" s="85">
        <v>0</v>
      </c>
      <c r="I41" s="86">
        <v>0</v>
      </c>
      <c r="K41" s="87" t="s">
        <v>208</v>
      </c>
      <c r="L41" s="85">
        <v>39</v>
      </c>
      <c r="M41" s="88">
        <v>0</v>
      </c>
      <c r="O41" s="107"/>
      <c r="Q41" s="108"/>
      <c r="R41" s="153"/>
      <c r="S41" s="109"/>
      <c r="U41" s="93">
        <v>6.86</v>
      </c>
      <c r="V41" s="94">
        <v>6.96</v>
      </c>
      <c r="W41" s="95">
        <v>6.91</v>
      </c>
      <c r="Y41" s="90">
        <v>13</v>
      </c>
      <c r="Z41" s="96">
        <v>12.6</v>
      </c>
      <c r="AA41" s="92">
        <v>12.6</v>
      </c>
      <c r="AC41" s="93">
        <v>1.5</v>
      </c>
      <c r="AD41" s="91">
        <v>0.1</v>
      </c>
      <c r="AE41" s="97">
        <v>0</v>
      </c>
      <c r="AG41" s="45">
        <f t="shared" si="2"/>
        <v>30</v>
      </c>
      <c r="AI41" s="98"/>
      <c r="AJ41" s="55">
        <f t="shared" si="3"/>
      </c>
      <c r="AK41" s="98"/>
      <c r="AL41" s="55">
        <f t="shared" si="4"/>
      </c>
      <c r="AM41" s="98"/>
      <c r="AN41" s="55">
        <f t="shared" si="5"/>
      </c>
      <c r="AO41" s="110"/>
      <c r="AQ41" s="100"/>
      <c r="AR41" s="55">
        <f t="shared" si="6"/>
      </c>
      <c r="AS41" s="98"/>
      <c r="AT41" s="55">
        <f t="shared" si="7"/>
      </c>
      <c r="AU41" s="98"/>
      <c r="AV41" s="55">
        <f t="shared" si="8"/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3"/>
      <c r="D42" s="139" t="str">
        <f t="shared" si="0"/>
        <v> </v>
      </c>
      <c r="E42" s="142"/>
      <c r="F42" s="143"/>
      <c r="G42" s="184" t="str">
        <f t="shared" si="1"/>
        <v> </v>
      </c>
      <c r="H42" s="113"/>
      <c r="I42" s="114"/>
      <c r="K42" s="115"/>
      <c r="L42" s="113"/>
      <c r="M42" s="116"/>
      <c r="O42" s="117"/>
      <c r="Q42" s="133"/>
      <c r="R42" s="112"/>
      <c r="S42" s="114"/>
      <c r="U42" s="134"/>
      <c r="V42" s="135"/>
      <c r="W42" s="136"/>
      <c r="Y42" s="133"/>
      <c r="Z42" s="113"/>
      <c r="AA42" s="114"/>
      <c r="AC42" s="134"/>
      <c r="AD42" s="112"/>
      <c r="AE42" s="116"/>
      <c r="AG42" s="45">
        <f t="shared" si="2"/>
        <v>31</v>
      </c>
      <c r="AI42" s="126"/>
      <c r="AJ42" s="65">
        <f t="shared" si="3"/>
      </c>
      <c r="AK42" s="126"/>
      <c r="AL42" s="65">
        <f t="shared" si="4"/>
      </c>
      <c r="AM42" s="126"/>
      <c r="AN42" s="65">
        <f t="shared" si="5"/>
      </c>
      <c r="AO42" s="127"/>
      <c r="AQ42" s="128"/>
      <c r="AR42" s="65">
        <f t="shared" si="6"/>
      </c>
      <c r="AS42" s="126"/>
      <c r="AT42" s="65">
        <f t="shared" si="7"/>
      </c>
      <c r="AU42" s="126"/>
      <c r="AV42" s="65">
        <f t="shared" si="8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2" t="s">
        <v>150</v>
      </c>
      <c r="BR43" s="272" t="s">
        <v>150</v>
      </c>
      <c r="BS43" s="272" t="s">
        <v>150</v>
      </c>
      <c r="BT43" s="26"/>
      <c r="BU43" s="68">
        <f>(AU49)</f>
        <v>89.3529411764706</v>
      </c>
      <c r="BV43" s="272" t="s">
        <v>150</v>
      </c>
      <c r="BW43" s="272" t="s">
        <v>150</v>
      </c>
      <c r="BX43" s="26" t="s">
        <v>129</v>
      </c>
      <c r="BY43" s="26"/>
      <c r="BZ43" s="26">
        <v>0</v>
      </c>
      <c r="CA43" s="267" t="s">
        <v>49</v>
      </c>
      <c r="CB43" s="26" t="s">
        <v>26</v>
      </c>
      <c r="CC43" s="137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9">
        <f>(IF(((SUM(C12:C42))=0)," ",((MAX(C12:C42))-C11)))</f>
        <v>88418</v>
      </c>
      <c r="D44" s="228">
        <f>(IF(((SUM(D12:D42))=0)," ",(SUM(D12:D42))))</f>
        <v>88.41800000000002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63650</v>
      </c>
      <c r="I44" s="196">
        <f>(IF(((SUM(I12:I42))=0)," ",(SUM(I12:I42))))</f>
        <v>150300</v>
      </c>
      <c r="K44" s="200" t="s">
        <v>150</v>
      </c>
      <c r="L44" s="201" t="s">
        <v>150</v>
      </c>
      <c r="M44" s="202">
        <f>(IF(((SUM(M12:M42))=0)," ",(SUM(M11:M42))))</f>
        <v>4.659999999999999</v>
      </c>
      <c r="O44" s="203" t="str">
        <f>(IF(((SUM(O12:O42))=0),"0.0",(SUM(O11:O42))))</f>
        <v>0.0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423695</v>
      </c>
      <c r="AY44" s="201" t="s">
        <v>150</v>
      </c>
      <c r="AZ44" s="212">
        <f>(IF(((SUM(AZ12:AZ42))=0)," ",(SUM(AZ12:AZ42))))</f>
        <v>27.75</v>
      </c>
      <c r="BA44" s="199">
        <f>(IF(((SUM(BA12:BA42))=0)," ",(SUM(BA12:BA42))))</f>
        <v>275.7</v>
      </c>
      <c r="BB44" s="207" t="s">
        <v>150</v>
      </c>
      <c r="BC44" s="199">
        <f>(IF(((SUM(BC12:BC42))=0)," ",(SUM(BC12:BC42))))</f>
        <v>180</v>
      </c>
      <c r="BD44" s="189" t="str">
        <f>(IF(((SUM(BD12:BD42))=0)," ",(SUM(BD12:BD42))))</f>
        <v> </v>
      </c>
      <c r="BE44" s="210" t="s">
        <v>150</v>
      </c>
      <c r="BG44" s="199">
        <f>(IF(((SUM(BG12:BG42))=0)," ",(SUM(BG12:BG42))))</f>
        <v>180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70" t="s">
        <v>150</v>
      </c>
      <c r="BR44" s="270" t="s">
        <v>150</v>
      </c>
      <c r="BS44" s="270" t="s">
        <v>150</v>
      </c>
      <c r="BT44" s="26"/>
      <c r="BU44" s="273">
        <v>85</v>
      </c>
      <c r="BV44" s="270" t="s">
        <v>150</v>
      </c>
      <c r="BW44" s="270" t="s">
        <v>150</v>
      </c>
      <c r="BX44" s="155" t="s">
        <v>129</v>
      </c>
      <c r="BY44" s="26"/>
      <c r="BZ44" s="270" t="s">
        <v>150</v>
      </c>
      <c r="CA44" s="271" t="s">
        <v>49</v>
      </c>
      <c r="CB44" s="155" t="s">
        <v>26</v>
      </c>
      <c r="CC44" s="137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3.513</v>
      </c>
      <c r="E45" s="216">
        <f>(IF((SUM(E12:E42))=0," ",(MAX(E12:E42))))</f>
        <v>6.6</v>
      </c>
      <c r="F45" s="217">
        <f>(IF((SUM(F12:F42))=0," ",(MAX(F12:F42))))</f>
        <v>1.5</v>
      </c>
      <c r="G45" s="216">
        <f>(MAX(G12:G42))</f>
        <v>0</v>
      </c>
      <c r="H45" s="162">
        <f>(IF((SUM(H12:H42))=0," ",(MAX(H12:H42))))</f>
        <v>7800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59</v>
      </c>
      <c r="M45" s="219">
        <f>(IF((SUM(M12:M42))=0," ",(MAX(M12:M42))))</f>
        <v>1.25</v>
      </c>
      <c r="O45" s="220" t="s">
        <v>150</v>
      </c>
      <c r="Q45" s="221" t="s">
        <v>150</v>
      </c>
      <c r="R45" s="184" t="str">
        <f>(IF(((SUM(R12:R42))=0),"-",(MAX(R12:R42))))</f>
        <v>-</v>
      </c>
      <c r="S45" s="163" t="str">
        <f>(IF(((SUM(S12:S42))=0),"-",(MAX(S12:S42))))</f>
        <v>-</v>
      </c>
      <c r="U45" s="222">
        <f>(IF((SUM(U12:U42))=0," ",(MAX(U12:U42))))</f>
        <v>7.33</v>
      </c>
      <c r="V45" s="183">
        <f>(IF((SUM(V12:V42))=0," ",(MAX(V12:V42))))</f>
        <v>7.13</v>
      </c>
      <c r="W45" s="223">
        <f>(IF((SUM(W12:W42))=0," ",(MAX(W12:W42))))</f>
        <v>7.2</v>
      </c>
      <c r="Y45" s="218">
        <f>(IF((SUM(Y12:Y42))=0," ",(MAX(Y12:Y42))))</f>
        <v>16</v>
      </c>
      <c r="Z45" s="162">
        <f>(IF((SUM(Z12:Z42))=0," ",(MAX(Z12:Z42))))</f>
        <v>15</v>
      </c>
      <c r="AA45" s="163">
        <f>(IF((SUM(AA12:AA42))=0," ",(MAX(AA12:AA42))))</f>
        <v>16</v>
      </c>
      <c r="AC45" s="222">
        <f>(IF((SUM(AC12:AC42))=0," ",(MAX(AC12:AC42))))</f>
        <v>8</v>
      </c>
      <c r="AD45" s="184">
        <f>(IF((SUM(AD12:AD42))=0," ",(MAX(AD12:AD42))))</f>
        <v>0.3</v>
      </c>
      <c r="AE45" s="219">
        <f>(IF((COUNT(AE12:AE42))=0," ",(MAX(AE12:AE42))))</f>
        <v>0.1</v>
      </c>
      <c r="AG45" s="26" t="str">
        <f>($A45)</f>
        <v>Maximum</v>
      </c>
      <c r="AI45" s="162">
        <f aca="true" t="shared" si="9" ref="AI45:AO45">(IF((SUM(AI12:AI42))=0," ",(MAX(AI12:AI42))))</f>
        <v>269</v>
      </c>
      <c r="AJ45" s="162">
        <f t="shared" si="9"/>
        <v>6097.849380000001</v>
      </c>
      <c r="AK45" s="218">
        <f t="shared" si="9"/>
        <v>161</v>
      </c>
      <c r="AL45" s="163">
        <f t="shared" si="9"/>
        <v>3993.1086</v>
      </c>
      <c r="AM45" s="218">
        <f t="shared" si="9"/>
        <v>30</v>
      </c>
      <c r="AN45" s="163">
        <f t="shared" si="9"/>
        <v>716.00568</v>
      </c>
      <c r="AO45" s="224">
        <f t="shared" si="9"/>
        <v>16</v>
      </c>
      <c r="AQ45" s="218">
        <f aca="true" t="shared" si="10" ref="AQ45:AV45">(IF((SUM(AQ12:AQ42))=0," ",(MAX(AQ12:AQ42))))</f>
        <v>396</v>
      </c>
      <c r="AR45" s="163">
        <f t="shared" si="10"/>
        <v>10324.05264</v>
      </c>
      <c r="AS45" s="218">
        <f t="shared" si="10"/>
        <v>87</v>
      </c>
      <c r="AT45" s="163">
        <f t="shared" si="10"/>
        <v>2368.3264799999997</v>
      </c>
      <c r="AU45" s="218">
        <f t="shared" si="10"/>
        <v>39</v>
      </c>
      <c r="AV45" s="163">
        <f t="shared" si="10"/>
        <v>999.1987200000001</v>
      </c>
      <c r="AX45" s="221" t="s">
        <v>150</v>
      </c>
      <c r="AY45" s="183">
        <f>(IF((SUM(AY12:AY42))=0," ",(MAX(AY12:AY42))))</f>
        <v>4</v>
      </c>
      <c r="AZ45" s="225" t="s">
        <v>150</v>
      </c>
      <c r="BA45" s="221" t="s">
        <v>150</v>
      </c>
      <c r="BB45" s="223">
        <f>(IF((SUM(BB12:BB42))=0," ",(MAX(BB12:BB42))))</f>
        <v>29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1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2.54</v>
      </c>
      <c r="E46" s="227">
        <f>(IF((SUM(E12:E42))=0," ",(MIN(E12:E42))))</f>
        <v>4</v>
      </c>
      <c r="F46" s="228">
        <f>(IF((SUM(F12:F42))=0," ",(MIN(F12:F42))))</f>
        <v>0.7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28</v>
      </c>
      <c r="M46" s="202">
        <f>(IF((SUM(M12:M42))=0," ",(MIN(M12:M42))))</f>
        <v>0</v>
      </c>
      <c r="O46" s="229" t="s">
        <v>150</v>
      </c>
      <c r="Q46" s="208" t="s">
        <v>150</v>
      </c>
      <c r="R46" s="191" t="str">
        <f>(IF(((SUM(R12:R42))=0),"-",(MIN(R12:R42))))</f>
        <v>-</v>
      </c>
      <c r="S46" s="196" t="str">
        <f>(IF(((SUM(S12:S42))=0),"-",(MIN(S12:S42))))</f>
        <v>-</v>
      </c>
      <c r="U46" s="230">
        <f>(IF((SUM(U12:U42))=0," ",(MIN(U12:U42))))</f>
        <v>6.8</v>
      </c>
      <c r="V46" s="192">
        <f>(IF((SUM(V12:V42))=0," ",(MIN(V12:V42))))</f>
        <v>6.68</v>
      </c>
      <c r="W46" s="212">
        <f>(IF((SUM(W12:W42))=0," ",(MIN(W12:W42))))</f>
        <v>6.62</v>
      </c>
      <c r="Y46" s="199">
        <f aca="true" t="shared" si="11" ref="Y46:AD46">(IF((SUM(Y12:Y42))=0," ",(MIN(Y12:Y42))))</f>
        <v>13</v>
      </c>
      <c r="Z46" s="189">
        <f t="shared" si="11"/>
        <v>12.5</v>
      </c>
      <c r="AA46" s="196">
        <f t="shared" si="11"/>
        <v>11.9</v>
      </c>
      <c r="AB46" s="265" t="str">
        <f t="shared" si="11"/>
        <v> </v>
      </c>
      <c r="AC46" s="230">
        <f t="shared" si="11"/>
        <v>1.5</v>
      </c>
      <c r="AD46" s="191">
        <f t="shared" si="11"/>
        <v>0.01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171</v>
      </c>
      <c r="AJ46" s="189">
        <f t="shared" si="12"/>
        <v>4723.37568</v>
      </c>
      <c r="AK46" s="199">
        <f t="shared" si="12"/>
        <v>144</v>
      </c>
      <c r="AL46" s="196">
        <f t="shared" si="12"/>
        <v>3769.8134399999994</v>
      </c>
      <c r="AM46" s="199">
        <f t="shared" si="12"/>
        <v>14</v>
      </c>
      <c r="AN46" s="196">
        <f t="shared" si="12"/>
        <v>364.99175999999994</v>
      </c>
      <c r="AO46" s="231">
        <f t="shared" si="12"/>
        <v>9</v>
      </c>
      <c r="AQ46" s="199">
        <f aca="true" t="shared" si="13" ref="AQ46:AV46">(IF((SUM(AQ12:AQ42))=0," ",(MIN(AQ12:AQ42))))</f>
        <v>180</v>
      </c>
      <c r="AR46" s="196">
        <f t="shared" si="13"/>
        <v>4611.6864000000005</v>
      </c>
      <c r="AS46" s="199">
        <f t="shared" si="13"/>
        <v>82</v>
      </c>
      <c r="AT46" s="196">
        <f t="shared" si="13"/>
        <v>1930.59324</v>
      </c>
      <c r="AU46" s="199">
        <f t="shared" si="13"/>
        <v>22</v>
      </c>
      <c r="AV46" s="196">
        <f t="shared" si="13"/>
        <v>573.5584799999999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27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08" t="s">
        <v>150</v>
      </c>
      <c r="BH46" s="214" t="s">
        <v>150</v>
      </c>
      <c r="BI46" s="215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2.947266666666667</v>
      </c>
      <c r="E47" s="216">
        <f>(IF((SUM(E12:E42))=0," ",(AVERAGE(E12:E42))))</f>
        <v>4.416666666666667</v>
      </c>
      <c r="F47" s="217">
        <f>(IF((SUM(F12:F42))=0," ",(AVERAGE(F12:F42))))</f>
        <v>1.0233333333333337</v>
      </c>
      <c r="G47" s="216" t="str">
        <f>(IF((SUM(G12:G42))=0,"0.000",(AVERAGE(G12:G42))))</f>
        <v>0.000</v>
      </c>
      <c r="H47" s="162">
        <f>(IF((SUM(H12:H42))=0," ",(AVERAGE(H12:H42))))</f>
        <v>2121.6666666666665</v>
      </c>
      <c r="I47" s="163">
        <f>(IF((SUM(I12:I42))=0," ",(AVERAGE(I12:I42))))</f>
        <v>5010</v>
      </c>
      <c r="K47" s="180" t="s">
        <v>150</v>
      </c>
      <c r="L47" s="183">
        <f>(IF((SUM(L12:L42))=0," ",(AVERAGE(L12:L42))))</f>
        <v>40.13333333333333</v>
      </c>
      <c r="M47" s="219">
        <f>(IF((SUM(M12:M42))=0," ",(AVERAGE(M12:M42))))</f>
        <v>0.1553333333333333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7.041666666666668</v>
      </c>
      <c r="V47" s="183">
        <f>(IF((SUM(V12:V42))=0," ",(AVERAGE(V12:V42))))</f>
        <v>6.985666666666666</v>
      </c>
      <c r="W47" s="223">
        <f>(IF((SUM(W12:W42))=0," ",(AVERAGE(W12:W42))))</f>
        <v>6.914333333333333</v>
      </c>
      <c r="Y47" s="218">
        <f>(IF((SUM(Y12:Y42))=0," ",(AVERAGE(Y12:Y42))))</f>
        <v>14.57333333333333</v>
      </c>
      <c r="Z47" s="162">
        <f>(IF((SUM(Z12:Z42))=0," ",(AVERAGE(Z12:Z42))))</f>
        <v>14.056666666666668</v>
      </c>
      <c r="AA47" s="163">
        <f>(IF((SUM(AA12:AA42))=0," ",(AVERAGE(AA12:AA42))))</f>
        <v>14.18</v>
      </c>
      <c r="AC47" s="222">
        <f>(IF((SUM(AC12:AC42))=0," ",(AVERAGE(AC12:AC42))))</f>
        <v>4.483333333333333</v>
      </c>
      <c r="AD47" s="184">
        <f>(IF((SUM(AD12:AD42))=0," ",(AVERAGE(AD12:AD42))))</f>
        <v>0.06166666666666668</v>
      </c>
      <c r="AE47" s="219">
        <f>(IF((COUNT(AE12:AE42))=0," ",(AVERAGE(AE12:AE42))))</f>
        <v>0.014666666666666668</v>
      </c>
      <c r="AG47" s="26" t="str">
        <f>($A47)</f>
        <v>Average</v>
      </c>
      <c r="AI47" s="162">
        <f aca="true" t="shared" si="14" ref="AI47:AO47">(IF((SUM(AI12:AI42))=0," ",(AVERAGE(AI12:AI42))))</f>
        <v>229.91666666666666</v>
      </c>
      <c r="AJ47" s="162">
        <f t="shared" si="14"/>
        <v>5636.352005000001</v>
      </c>
      <c r="AK47" s="218">
        <f t="shared" si="14"/>
        <v>150</v>
      </c>
      <c r="AL47" s="163">
        <f t="shared" si="14"/>
        <v>3851.1590199999996</v>
      </c>
      <c r="AM47" s="218">
        <f t="shared" si="14"/>
        <v>20.75</v>
      </c>
      <c r="AN47" s="163">
        <f t="shared" si="14"/>
        <v>510.04659999999996</v>
      </c>
      <c r="AO47" s="224">
        <f t="shared" si="14"/>
        <v>13</v>
      </c>
      <c r="AQ47" s="218">
        <f aca="true" t="shared" si="15" ref="AQ47:AV47">(IF((SUM(AQ12:AQ42))=0," ",(AVERAGE(AQ12:AQ42))))</f>
        <v>283.3333333333333</v>
      </c>
      <c r="AR47" s="163">
        <f t="shared" si="15"/>
        <v>6940.439580000001</v>
      </c>
      <c r="AS47" s="218">
        <f t="shared" si="15"/>
        <v>85</v>
      </c>
      <c r="AT47" s="163">
        <f t="shared" si="15"/>
        <v>2192.1717799999997</v>
      </c>
      <c r="AU47" s="218">
        <f t="shared" si="15"/>
        <v>30.166666666666668</v>
      </c>
      <c r="AV47" s="163">
        <f t="shared" si="15"/>
        <v>743.5172550000001</v>
      </c>
      <c r="AX47" s="218">
        <f aca="true" t="shared" si="16" ref="AX47:BE47">(IF((SUM(AX12:AX42))=0," ",(AVERAGE(AX12:AX42))))</f>
        <v>52961.875</v>
      </c>
      <c r="AY47" s="183">
        <f t="shared" si="16"/>
        <v>3.25</v>
      </c>
      <c r="AZ47" s="223">
        <f t="shared" si="16"/>
        <v>3.46875</v>
      </c>
      <c r="BA47" s="218">
        <f t="shared" si="16"/>
        <v>34.4625</v>
      </c>
      <c r="BB47" s="223">
        <f t="shared" si="16"/>
        <v>28</v>
      </c>
      <c r="BC47" s="218">
        <f t="shared" si="16"/>
        <v>22.5</v>
      </c>
      <c r="BD47" s="162" t="str">
        <f t="shared" si="16"/>
        <v> </v>
      </c>
      <c r="BE47" s="219" t="str">
        <f t="shared" si="16"/>
        <v> </v>
      </c>
      <c r="BG47" s="218">
        <f>(IF((SUM(BG12:BG42))=0," ",(AVERAGE(BG12:BG42))))</f>
        <v>22.5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7" t="s">
        <v>203</v>
      </c>
      <c r="BR48" s="272" t="s">
        <v>150</v>
      </c>
      <c r="BS48" s="277" t="s">
        <v>203</v>
      </c>
      <c r="BT48" s="26"/>
      <c r="BU48" s="272" t="s">
        <v>150</v>
      </c>
      <c r="BV48" s="58" t="str">
        <f>(S49)</f>
        <v>-</v>
      </c>
      <c r="BW48" s="58" t="str">
        <f>(S45)</f>
        <v>-</v>
      </c>
      <c r="BX48" s="272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90.95076745477326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89.3529411764706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78" t="s">
        <v>203</v>
      </c>
      <c r="BR49" s="270" t="s">
        <v>150</v>
      </c>
      <c r="BS49" s="278" t="s">
        <v>203</v>
      </c>
      <c r="BT49" s="26"/>
      <c r="BU49" s="270" t="s">
        <v>150</v>
      </c>
      <c r="BV49" s="269">
        <v>142</v>
      </c>
      <c r="BW49" s="269">
        <v>949</v>
      </c>
      <c r="BX49" s="279" t="s">
        <v>204</v>
      </c>
      <c r="BY49" s="26"/>
      <c r="BZ49" s="270" t="s">
        <v>150</v>
      </c>
      <c r="CA49" s="276" t="s">
        <v>205</v>
      </c>
      <c r="CB49" s="155" t="s">
        <v>23</v>
      </c>
      <c r="CC49" s="27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O52" s="11"/>
      <c r="Q52" s="11"/>
      <c r="R52" s="11"/>
      <c r="S52" s="11"/>
      <c r="U52" s="11"/>
      <c r="V52" s="11"/>
      <c r="W52" s="11"/>
      <c r="Y52" s="11"/>
      <c r="Z52" s="11"/>
      <c r="AA52" s="11"/>
      <c r="AC52" s="11"/>
      <c r="AD52" s="11"/>
      <c r="AE52" s="11"/>
      <c r="AG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X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K52" s="11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11"/>
    </row>
    <row r="53" spans="1:94" ht="18" customHeight="1">
      <c r="A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O53" s="11"/>
      <c r="Q53" s="11"/>
      <c r="R53" s="11"/>
      <c r="S53" s="11"/>
      <c r="U53" s="11"/>
      <c r="V53" s="11"/>
      <c r="W53" s="11"/>
      <c r="Y53" s="11"/>
      <c r="Z53" s="11"/>
      <c r="AA53" s="11"/>
      <c r="AC53" s="11"/>
      <c r="AD53" s="11"/>
      <c r="AE53" s="11"/>
      <c r="AG53" s="11"/>
      <c r="AI53" s="11"/>
      <c r="AJ53" s="11"/>
      <c r="AK53" s="11"/>
      <c r="AL53" s="11"/>
      <c r="AM53" s="11"/>
      <c r="AN53" s="11"/>
      <c r="AO53" s="11"/>
      <c r="AQ53" s="11"/>
      <c r="AR53" s="11"/>
      <c r="AS53" s="11"/>
      <c r="AT53" s="11"/>
      <c r="AU53" s="11"/>
      <c r="AV53" s="11"/>
      <c r="AX53" s="11"/>
      <c r="AY53" s="11"/>
      <c r="AZ53" s="11"/>
      <c r="BA53" s="11"/>
      <c r="BB53" s="11"/>
      <c r="BC53" s="11"/>
      <c r="BD53" s="11"/>
      <c r="BE53" s="11"/>
      <c r="BG53" s="11"/>
      <c r="BH53" s="11"/>
      <c r="BI53" s="11"/>
      <c r="BK53" s="11"/>
      <c r="BL53" s="19"/>
      <c r="BM53" s="20" t="s">
        <v>206</v>
      </c>
      <c r="BN53" s="20"/>
      <c r="BO53" s="57" t="s">
        <v>130</v>
      </c>
      <c r="BP53" s="20"/>
      <c r="BQ53" s="277" t="s">
        <v>203</v>
      </c>
      <c r="BR53" s="272" t="s">
        <v>150</v>
      </c>
      <c r="BS53" s="277" t="s">
        <v>203</v>
      </c>
      <c r="BT53" s="26"/>
      <c r="BU53" s="272" t="s">
        <v>150</v>
      </c>
      <c r="BV53" s="272" t="s">
        <v>150</v>
      </c>
      <c r="BW53" s="71" t="str">
        <f>(R45)</f>
        <v>-</v>
      </c>
      <c r="BX53" s="272" t="s">
        <v>150</v>
      </c>
      <c r="BY53" s="26"/>
      <c r="BZ53" s="26">
        <v>0</v>
      </c>
      <c r="CA53" s="75" t="s">
        <v>207</v>
      </c>
      <c r="CB53" s="26" t="s">
        <v>23</v>
      </c>
      <c r="CC53" s="27"/>
      <c r="CP53" s="11"/>
    </row>
    <row r="54" spans="1:94" ht="18" customHeight="1">
      <c r="A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O54" s="11"/>
      <c r="Q54" s="11"/>
      <c r="R54" s="11"/>
      <c r="S54" s="11"/>
      <c r="U54" s="11"/>
      <c r="V54" s="11"/>
      <c r="W54" s="11"/>
      <c r="Y54" s="11"/>
      <c r="Z54" s="11"/>
      <c r="AA54" s="11"/>
      <c r="AC54" s="11"/>
      <c r="AD54" s="11"/>
      <c r="AE54" s="11"/>
      <c r="AG54" s="11"/>
      <c r="AI54" s="11"/>
      <c r="AJ54" s="11"/>
      <c r="AK54" s="11"/>
      <c r="AL54" s="11"/>
      <c r="AM54" s="11"/>
      <c r="AN54" s="11"/>
      <c r="AO54" s="11"/>
      <c r="AQ54" s="11"/>
      <c r="AR54" s="11"/>
      <c r="AS54" s="11"/>
      <c r="AT54" s="11"/>
      <c r="AU54" s="11"/>
      <c r="AV54" s="11"/>
      <c r="AX54" s="11"/>
      <c r="AY54" s="11"/>
      <c r="AZ54" s="11"/>
      <c r="BA54" s="11"/>
      <c r="BB54" s="11"/>
      <c r="BC54" s="11"/>
      <c r="BD54" s="11"/>
      <c r="BE54" s="11"/>
      <c r="BG54" s="11"/>
      <c r="BH54" s="11"/>
      <c r="BI54" s="11"/>
      <c r="BK54" s="11"/>
      <c r="BL54" s="19"/>
      <c r="BM54" s="26" t="s">
        <v>86</v>
      </c>
      <c r="BN54" s="20"/>
      <c r="BO54" s="154" t="s">
        <v>131</v>
      </c>
      <c r="BP54" s="20"/>
      <c r="BQ54" s="278" t="s">
        <v>203</v>
      </c>
      <c r="BR54" s="270" t="s">
        <v>150</v>
      </c>
      <c r="BS54" s="278" t="s">
        <v>203</v>
      </c>
      <c r="BT54" s="26"/>
      <c r="BU54" s="270" t="s">
        <v>150</v>
      </c>
      <c r="BV54" s="270" t="s">
        <v>150</v>
      </c>
      <c r="BW54" s="279">
        <v>0.86</v>
      </c>
      <c r="BX54" s="279" t="s">
        <v>44</v>
      </c>
      <c r="BY54" s="26"/>
      <c r="BZ54" s="270" t="s">
        <v>150</v>
      </c>
      <c r="CA54" s="271" t="s">
        <v>207</v>
      </c>
      <c r="CB54" s="155" t="s">
        <v>23</v>
      </c>
      <c r="CC54" s="27"/>
      <c r="CP54" s="11"/>
    </row>
    <row r="55" spans="1:94" ht="18" customHeight="1">
      <c r="A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O55" s="17"/>
      <c r="Q55" s="17"/>
      <c r="R55" s="17"/>
      <c r="S55" s="17"/>
      <c r="U55" s="17"/>
      <c r="V55" s="17"/>
      <c r="W55" s="17"/>
      <c r="Y55" s="17"/>
      <c r="Z55" s="17"/>
      <c r="AA55" s="17"/>
      <c r="AC55" s="17"/>
      <c r="AD55" s="17"/>
      <c r="AE55" s="17"/>
      <c r="AG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T55" s="11"/>
      <c r="AU55" s="11"/>
      <c r="AV55" s="11"/>
      <c r="AX55" s="11"/>
      <c r="AY55" s="11"/>
      <c r="AZ55" s="11"/>
      <c r="BA55" s="11"/>
      <c r="BB55" s="11"/>
      <c r="BC55" s="11"/>
      <c r="BD55" s="11"/>
      <c r="BE55" s="11"/>
      <c r="BG55" s="11"/>
      <c r="BH55" s="11"/>
      <c r="BI55" s="11"/>
      <c r="BK55" s="11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11"/>
    </row>
    <row r="56" spans="1:94" ht="18" customHeight="1">
      <c r="A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1"/>
      <c r="AI56" s="11"/>
      <c r="AJ56" s="11"/>
      <c r="AK56" s="11"/>
      <c r="AL56" s="11"/>
      <c r="AM56" s="11"/>
      <c r="AN56" s="11"/>
      <c r="AO56" s="11"/>
      <c r="AQ56" s="11"/>
      <c r="AR56" s="11"/>
      <c r="AS56" s="11"/>
      <c r="AT56" s="11"/>
      <c r="AU56" s="11"/>
      <c r="AV56" s="11"/>
      <c r="AX56" s="11"/>
      <c r="AY56" s="11"/>
      <c r="AZ56" s="11"/>
      <c r="BA56" s="11"/>
      <c r="BB56" s="11"/>
      <c r="BC56" s="11"/>
      <c r="BD56" s="11"/>
      <c r="BE56" s="11"/>
      <c r="BG56" s="11"/>
      <c r="BH56" s="11"/>
      <c r="BI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P56" s="11"/>
    </row>
    <row r="57" spans="1:9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/>
      <c r="O57" s="11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/>
      <c r="AC57" s="17"/>
      <c r="AD57" s="17"/>
      <c r="AE57" s="17"/>
      <c r="AF57" s="17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/>
      <c r="CE57"/>
      <c r="CF57"/>
      <c r="CG57"/>
      <c r="CH57"/>
      <c r="CI57"/>
      <c r="CJ57"/>
      <c r="CK57"/>
      <c r="CL57"/>
      <c r="CM57"/>
      <c r="CN57"/>
      <c r="CO57"/>
      <c r="CP57" s="11"/>
    </row>
    <row r="58" spans="1:9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/>
      <c r="O58" s="11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/>
      <c r="CE58"/>
      <c r="CF58"/>
      <c r="CG58"/>
      <c r="CH58"/>
      <c r="CI58"/>
      <c r="CJ58"/>
      <c r="CK58"/>
      <c r="CL58"/>
      <c r="CM58"/>
      <c r="CN58"/>
      <c r="CO58"/>
      <c r="CP58" s="11"/>
    </row>
    <row r="59" spans="1:9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 password="CCAE" sheet="1" objects="1" scenarios="1"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200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December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December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1">
        <v>2320819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5">
        <v>2323868</v>
      </c>
      <c r="D12" s="138">
        <f aca="true" t="shared" si="0" ref="D12:D42">(IF(C12=0," ",((C12-C11)/1000)))</f>
        <v>3.049</v>
      </c>
      <c r="E12" s="140">
        <v>4.2</v>
      </c>
      <c r="F12" s="141">
        <v>0.8</v>
      </c>
      <c r="G12" s="81" t="str">
        <f aca="true" t="shared" si="1" ref="G12:G42">(IF(C12=0," ","0.00"))</f>
        <v>0.00</v>
      </c>
      <c r="H12" s="85">
        <v>2500</v>
      </c>
      <c r="I12" s="86">
        <v>8500</v>
      </c>
      <c r="J12" s="11"/>
      <c r="K12" s="87" t="s">
        <v>210</v>
      </c>
      <c r="L12" s="85">
        <v>40</v>
      </c>
      <c r="M12" s="88">
        <v>0</v>
      </c>
      <c r="N12" s="11"/>
      <c r="O12" s="89"/>
      <c r="P12" s="11"/>
      <c r="Q12" s="90"/>
      <c r="R12" s="91"/>
      <c r="S12" s="92"/>
      <c r="T12" s="11"/>
      <c r="U12" s="93">
        <v>7</v>
      </c>
      <c r="V12" s="94">
        <v>7</v>
      </c>
      <c r="W12" s="95">
        <v>6.9</v>
      </c>
      <c r="X12" s="11"/>
      <c r="Y12" s="90">
        <v>14</v>
      </c>
      <c r="Z12" s="96">
        <v>14</v>
      </c>
      <c r="AA12" s="92">
        <v>14</v>
      </c>
      <c r="AB12" s="11"/>
      <c r="AC12" s="93">
        <v>4</v>
      </c>
      <c r="AD12" s="91">
        <v>0.01</v>
      </c>
      <c r="AE12" s="97">
        <v>0</v>
      </c>
      <c r="AF12" s="11"/>
      <c r="AG12" s="45">
        <f aca="true" t="shared" si="2" ref="AG12:AG42">($A12)</f>
        <v>1</v>
      </c>
      <c r="AH12" s="11"/>
      <c r="AI12" s="98"/>
      <c r="AJ12" s="55">
        <f aca="true" t="shared" si="3" ref="AJ12:AJ42">IF(AI12=0,"",(D12*AI12*8.34))</f>
      </c>
      <c r="AK12" s="98"/>
      <c r="AL12" s="55">
        <f aca="true" t="shared" si="4" ref="AL12:AL42">IF(AK12=0,"",(D12*AK12*8.34))</f>
      </c>
      <c r="AM12" s="98"/>
      <c r="AN12" s="55">
        <f aca="true" t="shared" si="5" ref="AN12:AN42">IF(AM12=0,"",(D12*AM12*8.34))</f>
      </c>
      <c r="AO12" s="99"/>
      <c r="AP12" s="11"/>
      <c r="AQ12" s="100"/>
      <c r="AR12" s="55">
        <f aca="true" t="shared" si="6" ref="AR12:AR42">IF(AQ12=0,"",(D12*AQ12*8.34))</f>
      </c>
      <c r="AS12" s="98"/>
      <c r="AT12" s="55">
        <f aca="true" t="shared" si="7" ref="AT12:AT42">IF(AS12=0,"",(D12*AS12*8.34))</f>
      </c>
      <c r="AU12" s="98"/>
      <c r="AV12" s="55">
        <f aca="true" t="shared" si="8" ref="AV12:AV42">IF(AU12=0,"",(D12*AU12*8.34))</f>
      </c>
      <c r="AW12" s="11"/>
      <c r="AX12" s="100">
        <v>80243</v>
      </c>
      <c r="AY12" s="101">
        <v>3</v>
      </c>
      <c r="AZ12" s="102">
        <v>5.25</v>
      </c>
      <c r="BA12" s="98">
        <v>49.6</v>
      </c>
      <c r="BB12" s="102">
        <v>29</v>
      </c>
      <c r="BC12" s="98">
        <v>24</v>
      </c>
      <c r="BD12" s="98"/>
      <c r="BE12" s="103"/>
      <c r="BF12" s="11"/>
      <c r="BG12" s="100">
        <v>24</v>
      </c>
      <c r="BH12" s="84" t="s">
        <v>229</v>
      </c>
      <c r="BI12" s="104" t="s">
        <v>230</v>
      </c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6">
        <f>(IF(((SUM(AN12:AN42))=0)," ",(AVERAGE(AN12:AN42))))</f>
        <v>472.86516923076914</v>
      </c>
      <c r="BR12" s="186">
        <f>MAX(AN12:AN42)</f>
        <v>714.7213199999999</v>
      </c>
      <c r="BS12" s="26" t="s">
        <v>126</v>
      </c>
      <c r="BT12" s="26"/>
      <c r="BU12" s="186">
        <f>(IF(((SUM(AM12:AM42))=0)," ",(AVERAGE(AM12:AM42))))</f>
        <v>17.53846153846154</v>
      </c>
      <c r="BV12" s="58">
        <f>(CG23)</f>
        <v>19</v>
      </c>
      <c r="BW12" s="186">
        <f>MAX(AM12:AM42)</f>
        <v>27</v>
      </c>
      <c r="BX12" s="26" t="s">
        <v>128</v>
      </c>
      <c r="BY12" s="26"/>
      <c r="BZ12" s="26">
        <v>0</v>
      </c>
      <c r="CA12" s="267" t="s">
        <v>47</v>
      </c>
      <c r="CB12" s="26">
        <v>24</v>
      </c>
      <c r="CC12" s="137"/>
      <c r="CE12" s="24"/>
      <c r="CF12" s="20" t="s">
        <v>138</v>
      </c>
      <c r="CG12" s="106">
        <f>(IF(((SUM(AM12:AM18))=0)," ",(AVERAGE(AM12:AM18))))</f>
        <v>15</v>
      </c>
      <c r="CH12" s="106">
        <f>(IF(((SUM(AN12:AN18))=0)," ",(AVERAGE(AN12:AN18))))</f>
        <v>354.85866</v>
      </c>
      <c r="CI12" s="286"/>
      <c r="CJ12" s="106">
        <f>(IF(((SUM(AU12:AU18))=0)," ",(AVERAGE(AU12:AU18))))</f>
        <v>20</v>
      </c>
      <c r="CK12" s="106">
        <f>(IF(((SUM(AV12:AV18))=0)," ",(AVERAGE(AV12:AV18))))</f>
        <v>472.90301999999997</v>
      </c>
      <c r="CL12" s="53"/>
      <c r="CM12" s="152">
        <f>(AVERAGE(AE12:AE17))</f>
        <v>0.0016666666666666668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5">
        <v>2326916</v>
      </c>
      <c r="D13" s="138">
        <f t="shared" si="0"/>
        <v>3.048</v>
      </c>
      <c r="E13" s="140">
        <v>4.2</v>
      </c>
      <c r="F13" s="141">
        <v>0.8</v>
      </c>
      <c r="G13" s="81" t="str">
        <f t="shared" si="1"/>
        <v>0.00</v>
      </c>
      <c r="H13" s="85">
        <v>3950</v>
      </c>
      <c r="I13" s="86">
        <v>4500</v>
      </c>
      <c r="J13" s="11"/>
      <c r="K13" s="87" t="s">
        <v>208</v>
      </c>
      <c r="L13" s="85">
        <v>23</v>
      </c>
      <c r="M13" s="88">
        <v>0</v>
      </c>
      <c r="N13" s="11"/>
      <c r="O13" s="107"/>
      <c r="P13" s="11"/>
      <c r="Q13" s="108"/>
      <c r="R13" s="153"/>
      <c r="S13" s="109"/>
      <c r="T13" s="11"/>
      <c r="U13" s="93">
        <v>7</v>
      </c>
      <c r="V13" s="94">
        <v>7</v>
      </c>
      <c r="W13" s="95">
        <v>7</v>
      </c>
      <c r="X13" s="11"/>
      <c r="Y13" s="90">
        <v>14</v>
      </c>
      <c r="Z13" s="96">
        <v>13</v>
      </c>
      <c r="AA13" s="92">
        <v>13</v>
      </c>
      <c r="AB13" s="11"/>
      <c r="AC13" s="93">
        <v>6</v>
      </c>
      <c r="AD13" s="91">
        <v>0.1</v>
      </c>
      <c r="AE13" s="97">
        <v>0.01</v>
      </c>
      <c r="AF13" s="11"/>
      <c r="AG13" s="45">
        <f t="shared" si="2"/>
        <v>2</v>
      </c>
      <c r="AH13" s="11"/>
      <c r="AI13" s="98"/>
      <c r="AJ13" s="55">
        <f t="shared" si="3"/>
      </c>
      <c r="AK13" s="98"/>
      <c r="AL13" s="55">
        <f t="shared" si="4"/>
      </c>
      <c r="AM13" s="98"/>
      <c r="AN13" s="55">
        <f t="shared" si="5"/>
      </c>
      <c r="AO13" s="110"/>
      <c r="AP13" s="11"/>
      <c r="AQ13" s="100"/>
      <c r="AR13" s="55">
        <f t="shared" si="6"/>
      </c>
      <c r="AS13" s="98"/>
      <c r="AT13" s="55">
        <f t="shared" si="7"/>
      </c>
      <c r="AU13" s="98"/>
      <c r="AV13" s="55">
        <f t="shared" si="8"/>
      </c>
      <c r="AW13" s="11"/>
      <c r="AX13" s="100"/>
      <c r="AY13" s="101"/>
      <c r="AZ13" s="102"/>
      <c r="BA13" s="98"/>
      <c r="BB13" s="102"/>
      <c r="BC13" s="98"/>
      <c r="BD13" s="98"/>
      <c r="BE13" s="103"/>
      <c r="BF13" s="11"/>
      <c r="BG13" s="100"/>
      <c r="BH13" s="84"/>
      <c r="BI13" s="104"/>
      <c r="BJ13" s="11"/>
      <c r="BK13" s="17"/>
      <c r="BL13" s="19"/>
      <c r="BM13" s="26" t="s">
        <v>86</v>
      </c>
      <c r="BN13" s="20"/>
      <c r="BO13" s="154" t="s">
        <v>131</v>
      </c>
      <c r="BP13" s="26"/>
      <c r="BQ13" s="268">
        <v>963</v>
      </c>
      <c r="BR13" s="268">
        <v>1605</v>
      </c>
      <c r="BS13" s="155" t="s">
        <v>126</v>
      </c>
      <c r="BT13" s="26"/>
      <c r="BU13" s="268">
        <v>30</v>
      </c>
      <c r="BV13" s="269">
        <v>45</v>
      </c>
      <c r="BW13" s="268">
        <v>50</v>
      </c>
      <c r="BX13" s="155" t="s">
        <v>128</v>
      </c>
      <c r="BY13" s="26"/>
      <c r="BZ13" s="270" t="s">
        <v>150</v>
      </c>
      <c r="CA13" s="271" t="s">
        <v>47</v>
      </c>
      <c r="CB13" s="155">
        <v>24</v>
      </c>
      <c r="CC13" s="137"/>
      <c r="CE13" s="24"/>
      <c r="CF13" s="20"/>
      <c r="CG13" s="286"/>
      <c r="CH13" s="286"/>
      <c r="CI13" s="286"/>
      <c r="CJ13" s="286"/>
      <c r="CK13" s="286"/>
      <c r="CL13" s="53"/>
      <c r="CM13" s="287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5">
        <v>2329852</v>
      </c>
      <c r="D14" s="138">
        <f t="shared" si="0"/>
        <v>2.936</v>
      </c>
      <c r="E14" s="140">
        <v>4</v>
      </c>
      <c r="F14" s="141">
        <v>0.8</v>
      </c>
      <c r="G14" s="81" t="str">
        <f t="shared" si="1"/>
        <v>0.00</v>
      </c>
      <c r="H14" s="85">
        <v>1700</v>
      </c>
      <c r="I14" s="86">
        <v>3000</v>
      </c>
      <c r="K14" s="87" t="s">
        <v>210</v>
      </c>
      <c r="L14" s="85">
        <v>19</v>
      </c>
      <c r="M14" s="88">
        <v>0</v>
      </c>
      <c r="O14" s="107"/>
      <c r="Q14" s="108" t="s">
        <v>10</v>
      </c>
      <c r="R14" s="153" t="s">
        <v>10</v>
      </c>
      <c r="S14" s="109" t="s">
        <v>10</v>
      </c>
      <c r="U14" s="93">
        <v>7.1</v>
      </c>
      <c r="V14" s="94">
        <v>7.1</v>
      </c>
      <c r="W14" s="95">
        <v>6.8</v>
      </c>
      <c r="Y14" s="90">
        <v>14</v>
      </c>
      <c r="Z14" s="96">
        <v>12</v>
      </c>
      <c r="AA14" s="92">
        <v>12</v>
      </c>
      <c r="AC14" s="93">
        <v>2.5</v>
      </c>
      <c r="AD14" s="91">
        <v>0.01</v>
      </c>
      <c r="AE14" s="97">
        <v>0</v>
      </c>
      <c r="AG14" s="45">
        <f t="shared" si="2"/>
        <v>3</v>
      </c>
      <c r="AI14" s="98">
        <v>203</v>
      </c>
      <c r="AJ14" s="55">
        <f t="shared" si="3"/>
        <v>4970.70672</v>
      </c>
      <c r="AK14" s="98"/>
      <c r="AL14" s="55">
        <f t="shared" si="4"/>
      </c>
      <c r="AM14" s="98"/>
      <c r="AN14" s="55">
        <f t="shared" si="5"/>
      </c>
      <c r="AO14" s="110"/>
      <c r="AQ14" s="100">
        <v>178</v>
      </c>
      <c r="AR14" s="55">
        <f t="shared" si="6"/>
        <v>4358.550719999999</v>
      </c>
      <c r="AS14" s="98"/>
      <c r="AT14" s="55">
        <f t="shared" si="7"/>
      </c>
      <c r="AU14" s="98"/>
      <c r="AV14" s="55">
        <f t="shared" si="8"/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(IF(((SUM(AM19:AM25))=0)," ",(AVERAGE(AM19:AM25))))</f>
        <v>17.333333333333332</v>
      </c>
      <c r="CH14" s="106">
        <f>(IF(((SUM(AN19:AN25))=0)," ",(AVERAGE(AN19:AN25))))</f>
        <v>419.27682000000004</v>
      </c>
      <c r="CI14" s="286"/>
      <c r="CJ14" s="106">
        <f>(IF(((SUM(AU19:AU25))=0)," ",(AVERAGE(AU19:AU25))))</f>
        <v>23.333333333333332</v>
      </c>
      <c r="CK14" s="106">
        <f>(IF(((SUM(AV19:AV25))=0)," ",(AVERAGE(AV19:AV25))))</f>
        <v>560.27564</v>
      </c>
      <c r="CL14" s="53"/>
      <c r="CM14" s="152">
        <f>(AVERAGE(AE18:AE24))</f>
        <v>0.004285714285714286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5">
        <v>2332735</v>
      </c>
      <c r="D15" s="138">
        <f t="shared" si="0"/>
        <v>2.883</v>
      </c>
      <c r="E15" s="140">
        <v>4.3</v>
      </c>
      <c r="F15" s="141">
        <v>0.8</v>
      </c>
      <c r="G15" s="81" t="str">
        <f t="shared" si="1"/>
        <v>0.00</v>
      </c>
      <c r="H15" s="85">
        <v>4200</v>
      </c>
      <c r="I15" s="86">
        <v>6500</v>
      </c>
      <c r="K15" s="87" t="s">
        <v>210</v>
      </c>
      <c r="L15" s="85">
        <v>21</v>
      </c>
      <c r="M15" s="88">
        <v>0</v>
      </c>
      <c r="O15" s="107"/>
      <c r="Q15" s="108"/>
      <c r="R15" s="153"/>
      <c r="S15" s="109"/>
      <c r="U15" s="93">
        <v>7.1</v>
      </c>
      <c r="V15" s="94">
        <v>7</v>
      </c>
      <c r="W15" s="95">
        <v>6.6</v>
      </c>
      <c r="Y15" s="90">
        <v>13</v>
      </c>
      <c r="Z15" s="96">
        <v>13</v>
      </c>
      <c r="AA15" s="92">
        <v>12</v>
      </c>
      <c r="AC15" s="93">
        <v>10</v>
      </c>
      <c r="AD15" s="91">
        <v>0.1</v>
      </c>
      <c r="AE15" s="97">
        <v>0</v>
      </c>
      <c r="AG15" s="45">
        <f t="shared" si="2"/>
        <v>4</v>
      </c>
      <c r="AI15" s="98">
        <v>219</v>
      </c>
      <c r="AJ15" s="55">
        <f t="shared" si="3"/>
        <v>5265.684179999999</v>
      </c>
      <c r="AK15" s="98"/>
      <c r="AL15" s="55">
        <f t="shared" si="4"/>
      </c>
      <c r="AM15" s="98">
        <v>14</v>
      </c>
      <c r="AN15" s="55">
        <f t="shared" si="5"/>
        <v>336.61908</v>
      </c>
      <c r="AO15" s="110">
        <v>10</v>
      </c>
      <c r="AQ15" s="100">
        <v>192</v>
      </c>
      <c r="AR15" s="55">
        <f t="shared" si="6"/>
        <v>4616.49024</v>
      </c>
      <c r="AS15" s="98"/>
      <c r="AT15" s="55">
        <f t="shared" si="7"/>
      </c>
      <c r="AU15" s="98">
        <v>18</v>
      </c>
      <c r="AV15" s="55">
        <f t="shared" si="8"/>
        <v>432.79596</v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286"/>
      <c r="CH15" s="286"/>
      <c r="CI15" s="286"/>
      <c r="CJ15" s="286"/>
      <c r="CK15" s="286"/>
      <c r="CL15" s="53"/>
      <c r="CM15" s="287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3">
        <v>2335531</v>
      </c>
      <c r="D16" s="139">
        <f t="shared" si="0"/>
        <v>2.796</v>
      </c>
      <c r="E16" s="142">
        <v>4.2</v>
      </c>
      <c r="F16" s="143">
        <v>0.8</v>
      </c>
      <c r="G16" s="184" t="str">
        <f t="shared" si="1"/>
        <v>0.00</v>
      </c>
      <c r="H16" s="113">
        <v>2000</v>
      </c>
      <c r="I16" s="114">
        <v>8500</v>
      </c>
      <c r="K16" s="115" t="s">
        <v>210</v>
      </c>
      <c r="L16" s="113">
        <v>18</v>
      </c>
      <c r="M16" s="116">
        <v>0</v>
      </c>
      <c r="O16" s="117"/>
      <c r="Q16" s="108" t="s">
        <v>4</v>
      </c>
      <c r="R16" s="153" t="s">
        <v>4</v>
      </c>
      <c r="S16" s="109" t="s">
        <v>4</v>
      </c>
      <c r="U16" s="118">
        <v>7.1</v>
      </c>
      <c r="V16" s="119">
        <v>7.1</v>
      </c>
      <c r="W16" s="120">
        <v>6.6</v>
      </c>
      <c r="Y16" s="121">
        <v>13</v>
      </c>
      <c r="Z16" s="122">
        <v>12</v>
      </c>
      <c r="AA16" s="123">
        <v>11</v>
      </c>
      <c r="AC16" s="118">
        <v>4.5</v>
      </c>
      <c r="AD16" s="124">
        <v>0</v>
      </c>
      <c r="AE16" s="125">
        <v>0</v>
      </c>
      <c r="AG16" s="45">
        <f t="shared" si="2"/>
        <v>5</v>
      </c>
      <c r="AI16" s="126">
        <v>236</v>
      </c>
      <c r="AJ16" s="65">
        <f t="shared" si="3"/>
        <v>5503.1990399999995</v>
      </c>
      <c r="AK16" s="126">
        <v>142</v>
      </c>
      <c r="AL16" s="65">
        <f t="shared" si="4"/>
        <v>3311.2468799999997</v>
      </c>
      <c r="AM16" s="126">
        <v>16</v>
      </c>
      <c r="AN16" s="65">
        <f t="shared" si="5"/>
        <v>373.09824</v>
      </c>
      <c r="AO16" s="127">
        <v>11</v>
      </c>
      <c r="AQ16" s="128">
        <v>202</v>
      </c>
      <c r="AR16" s="65">
        <f t="shared" si="6"/>
        <v>4710.365279999999</v>
      </c>
      <c r="AS16" s="126">
        <v>77</v>
      </c>
      <c r="AT16" s="65">
        <f t="shared" si="7"/>
        <v>1795.5352799999998</v>
      </c>
      <c r="AU16" s="126">
        <v>22</v>
      </c>
      <c r="AV16" s="65">
        <f t="shared" si="8"/>
        <v>513.0100799999999</v>
      </c>
      <c r="AX16" s="128">
        <v>32962</v>
      </c>
      <c r="AY16" s="129">
        <v>3</v>
      </c>
      <c r="AZ16" s="130">
        <v>2.25</v>
      </c>
      <c r="BA16" s="126">
        <v>21.7</v>
      </c>
      <c r="BB16" s="130">
        <v>28</v>
      </c>
      <c r="BC16" s="126">
        <v>12</v>
      </c>
      <c r="BD16" s="126"/>
      <c r="BE16" s="131"/>
      <c r="BG16" s="128">
        <v>12</v>
      </c>
      <c r="BH16" s="111" t="s">
        <v>231</v>
      </c>
      <c r="BI16" s="132" t="s">
        <v>230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(IF(((SUM(AM26:AM32))=0)," ",(AVERAGE(AM26:AM32))))</f>
        <v>19</v>
      </c>
      <c r="CH16" s="106">
        <f>(IF(((SUM(AN26:AN32))=0)," ",(AVERAGE(AN26:AN32))))</f>
        <v>610.8494</v>
      </c>
      <c r="CI16" s="286"/>
      <c r="CJ16" s="106">
        <f>(IF(((SUM(AU26:AU32))=0)," ",(AVERAGE(AU26:AU32))))</f>
        <v>25</v>
      </c>
      <c r="CK16" s="106">
        <f>(IF(((SUM(AV26:AV32))=0)," ",(AVERAGE(AV26:AV32))))</f>
        <v>794.7658600000001</v>
      </c>
      <c r="CL16" s="53"/>
      <c r="CM16" s="152">
        <f>(AVERAGE(AE25:AE31))</f>
        <v>0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5">
        <v>2338282</v>
      </c>
      <c r="D17" s="138">
        <f t="shared" si="0"/>
        <v>2.751</v>
      </c>
      <c r="E17" s="140">
        <v>4</v>
      </c>
      <c r="F17" s="141">
        <v>0.8</v>
      </c>
      <c r="G17" s="81" t="str">
        <f t="shared" si="1"/>
        <v>0.00</v>
      </c>
      <c r="H17" s="85">
        <v>4000</v>
      </c>
      <c r="I17" s="86">
        <v>0</v>
      </c>
      <c r="K17" s="87" t="s">
        <v>209</v>
      </c>
      <c r="L17" s="85">
        <v>20</v>
      </c>
      <c r="M17" s="88">
        <v>0</v>
      </c>
      <c r="O17" s="107"/>
      <c r="Q17" s="108"/>
      <c r="R17" s="153"/>
      <c r="S17" s="109"/>
      <c r="U17" s="93">
        <v>6.9</v>
      </c>
      <c r="V17" s="94">
        <v>7</v>
      </c>
      <c r="W17" s="95">
        <v>6.8</v>
      </c>
      <c r="Y17" s="90">
        <v>13</v>
      </c>
      <c r="Z17" s="96">
        <v>13</v>
      </c>
      <c r="AA17" s="92">
        <v>12</v>
      </c>
      <c r="AC17" s="93">
        <v>1.5</v>
      </c>
      <c r="AD17" s="91">
        <v>0.01</v>
      </c>
      <c r="AE17" s="97">
        <v>0</v>
      </c>
      <c r="AG17" s="45">
        <f t="shared" si="2"/>
        <v>6</v>
      </c>
      <c r="AI17" s="98"/>
      <c r="AJ17" s="55">
        <f t="shared" si="3"/>
      </c>
      <c r="AK17" s="98"/>
      <c r="AL17" s="55">
        <f t="shared" si="4"/>
      </c>
      <c r="AM17" s="98"/>
      <c r="AN17" s="55">
        <f t="shared" si="5"/>
      </c>
      <c r="AO17" s="110"/>
      <c r="AQ17" s="100"/>
      <c r="AR17" s="55">
        <f t="shared" si="6"/>
      </c>
      <c r="AS17" s="98"/>
      <c r="AT17" s="55">
        <f t="shared" si="7"/>
      </c>
      <c r="AU17" s="98"/>
      <c r="AV17" s="55">
        <f t="shared" si="8"/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72" t="s">
        <v>150</v>
      </c>
      <c r="BR17" s="272" t="s">
        <v>150</v>
      </c>
      <c r="BS17" s="272" t="s">
        <v>150</v>
      </c>
      <c r="BT17" s="26"/>
      <c r="BU17" s="68">
        <f>MIN(W12:W42)</f>
        <v>6.6</v>
      </c>
      <c r="BV17" s="272" t="s">
        <v>150</v>
      </c>
      <c r="BW17" s="68">
        <f>MAX(W12:W42)</f>
        <v>7</v>
      </c>
      <c r="BX17" s="26" t="s">
        <v>43</v>
      </c>
      <c r="BY17" s="26"/>
      <c r="BZ17" s="26">
        <v>0</v>
      </c>
      <c r="CA17" s="267" t="s">
        <v>48</v>
      </c>
      <c r="CB17" s="26" t="s">
        <v>23</v>
      </c>
      <c r="CC17" s="137"/>
      <c r="CE17" s="69"/>
      <c r="CF17" s="20"/>
      <c r="CG17" s="286"/>
      <c r="CH17" s="286"/>
      <c r="CI17" s="286"/>
      <c r="CJ17" s="286"/>
      <c r="CK17" s="286"/>
      <c r="CL17" s="20"/>
      <c r="CM17" s="287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5">
        <v>2340950</v>
      </c>
      <c r="D18" s="138">
        <f t="shared" si="0"/>
        <v>2.668</v>
      </c>
      <c r="E18" s="140">
        <v>4</v>
      </c>
      <c r="F18" s="141">
        <v>0.7</v>
      </c>
      <c r="G18" s="81" t="str">
        <f t="shared" si="1"/>
        <v>0.00</v>
      </c>
      <c r="H18" s="85">
        <v>0</v>
      </c>
      <c r="I18" s="86">
        <v>0</v>
      </c>
      <c r="K18" s="87" t="s">
        <v>209</v>
      </c>
      <c r="L18" s="85">
        <v>26</v>
      </c>
      <c r="M18" s="88">
        <v>0</v>
      </c>
      <c r="O18" s="107"/>
      <c r="Q18" s="108" t="s">
        <v>4</v>
      </c>
      <c r="R18" s="153" t="s">
        <v>4</v>
      </c>
      <c r="S18" s="109" t="s">
        <v>4</v>
      </c>
      <c r="U18" s="93">
        <v>6.9</v>
      </c>
      <c r="V18" s="94">
        <v>7</v>
      </c>
      <c r="W18" s="95">
        <v>6.7</v>
      </c>
      <c r="Y18" s="90">
        <v>13</v>
      </c>
      <c r="Z18" s="96">
        <v>13</v>
      </c>
      <c r="AA18" s="92">
        <v>12</v>
      </c>
      <c r="AC18" s="93">
        <v>4.5</v>
      </c>
      <c r="AD18" s="91">
        <v>0.01</v>
      </c>
      <c r="AE18" s="97">
        <v>0</v>
      </c>
      <c r="AG18" s="45">
        <f t="shared" si="2"/>
        <v>7</v>
      </c>
      <c r="AI18" s="98"/>
      <c r="AJ18" s="55">
        <f t="shared" si="3"/>
      </c>
      <c r="AK18" s="98"/>
      <c r="AL18" s="55">
        <f t="shared" si="4"/>
      </c>
      <c r="AM18" s="98"/>
      <c r="AN18" s="55">
        <f t="shared" si="5"/>
      </c>
      <c r="AO18" s="110"/>
      <c r="AQ18" s="100"/>
      <c r="AR18" s="55">
        <f t="shared" si="6"/>
      </c>
      <c r="AS18" s="98"/>
      <c r="AT18" s="55">
        <f t="shared" si="7"/>
      </c>
      <c r="AU18" s="98"/>
      <c r="AV18" s="55">
        <f t="shared" si="8"/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70" t="s">
        <v>150</v>
      </c>
      <c r="BR18" s="270" t="s">
        <v>150</v>
      </c>
      <c r="BS18" s="270" t="s">
        <v>150</v>
      </c>
      <c r="BT18" s="26"/>
      <c r="BU18" s="273">
        <v>6</v>
      </c>
      <c r="BV18" s="270" t="s">
        <v>150</v>
      </c>
      <c r="BW18" s="155">
        <v>8.5</v>
      </c>
      <c r="BX18" s="155" t="s">
        <v>43</v>
      </c>
      <c r="BY18" s="26"/>
      <c r="BZ18" s="270" t="s">
        <v>150</v>
      </c>
      <c r="CA18" s="271" t="s">
        <v>48</v>
      </c>
      <c r="CB18" s="155" t="s">
        <v>23</v>
      </c>
      <c r="CC18" s="137"/>
      <c r="CE18" s="69"/>
      <c r="CF18" s="20" t="s">
        <v>141</v>
      </c>
      <c r="CG18" s="106">
        <f>(IF(((SUM(AM33:AM39))=0)," ",(AVERAGE(AM33:AM39))))</f>
        <v>14.333333333333334</v>
      </c>
      <c r="CH18" s="106">
        <f>(IF(((SUM(AN33:AN39))=0)," ",(AVERAGE(AN33:AN39))))</f>
        <v>372.79522</v>
      </c>
      <c r="CI18" s="286"/>
      <c r="CJ18" s="106">
        <f>(IF(((SUM(AU33:AU39))=0)," ",(AVERAGE(AU33:AU39))))</f>
        <v>15</v>
      </c>
      <c r="CK18" s="106">
        <f>(IF(((SUM(AV33:AV39))=0)," ",(AVERAGE(AV33:AV39))))</f>
        <v>390.35092000000003</v>
      </c>
      <c r="CL18" s="20"/>
      <c r="CM18" s="152">
        <f>(AVERAGE(AE32:AE38))</f>
        <v>0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5">
        <v>2343502</v>
      </c>
      <c r="D19" s="138">
        <f t="shared" si="0"/>
        <v>2.552</v>
      </c>
      <c r="E19" s="140">
        <v>3.8</v>
      </c>
      <c r="F19" s="141">
        <v>0.7</v>
      </c>
      <c r="G19" s="81" t="str">
        <f t="shared" si="1"/>
        <v>0.00</v>
      </c>
      <c r="H19" s="85">
        <v>4000</v>
      </c>
      <c r="I19" s="86">
        <v>3000</v>
      </c>
      <c r="K19" s="87" t="s">
        <v>210</v>
      </c>
      <c r="L19" s="85">
        <v>29</v>
      </c>
      <c r="M19" s="88">
        <v>0.01</v>
      </c>
      <c r="O19" s="107"/>
      <c r="Q19" s="108"/>
      <c r="R19" s="153"/>
      <c r="S19" s="109"/>
      <c r="U19" s="93">
        <v>7.4</v>
      </c>
      <c r="V19" s="94">
        <v>7.2</v>
      </c>
      <c r="W19" s="95">
        <v>6.8</v>
      </c>
      <c r="Y19" s="90">
        <v>14</v>
      </c>
      <c r="Z19" s="96">
        <v>13</v>
      </c>
      <c r="AA19" s="92">
        <v>12</v>
      </c>
      <c r="AC19" s="93">
        <v>10</v>
      </c>
      <c r="AD19" s="91">
        <v>0.01</v>
      </c>
      <c r="AE19" s="97">
        <v>0</v>
      </c>
      <c r="AG19" s="45">
        <f t="shared" si="2"/>
        <v>8</v>
      </c>
      <c r="AI19" s="98"/>
      <c r="AJ19" s="55">
        <f t="shared" si="3"/>
      </c>
      <c r="AK19" s="98"/>
      <c r="AL19" s="55">
        <f t="shared" si="4"/>
      </c>
      <c r="AM19" s="98"/>
      <c r="AN19" s="55">
        <f t="shared" si="5"/>
      </c>
      <c r="AO19" s="110"/>
      <c r="AQ19" s="100"/>
      <c r="AR19" s="55">
        <f t="shared" si="6"/>
      </c>
      <c r="AS19" s="98"/>
      <c r="AT19" s="55">
        <f t="shared" si="7"/>
      </c>
      <c r="AU19" s="98"/>
      <c r="AV19" s="55">
        <f t="shared" si="8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86"/>
      <c r="CH19" s="286"/>
      <c r="CI19" s="286"/>
      <c r="CJ19" s="286"/>
      <c r="CK19" s="286"/>
      <c r="CL19" s="20"/>
      <c r="CM19" s="287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5">
        <v>2346088</v>
      </c>
      <c r="D20" s="138">
        <f t="shared" si="0"/>
        <v>2.586</v>
      </c>
      <c r="E20" s="140">
        <v>3.9</v>
      </c>
      <c r="F20" s="141">
        <v>0.7</v>
      </c>
      <c r="G20" s="81" t="str">
        <f t="shared" si="1"/>
        <v>0.00</v>
      </c>
      <c r="H20" s="85">
        <v>3750</v>
      </c>
      <c r="I20" s="86">
        <v>4500</v>
      </c>
      <c r="K20" s="87" t="s">
        <v>210</v>
      </c>
      <c r="L20" s="85">
        <v>22</v>
      </c>
      <c r="M20" s="88">
        <v>0</v>
      </c>
      <c r="O20" s="107"/>
      <c r="Q20" s="108"/>
      <c r="R20" s="153"/>
      <c r="S20" s="109"/>
      <c r="U20" s="93">
        <v>7</v>
      </c>
      <c r="V20" s="94">
        <v>7</v>
      </c>
      <c r="W20" s="95">
        <v>6.7</v>
      </c>
      <c r="Y20" s="90">
        <v>13</v>
      </c>
      <c r="Z20" s="96">
        <v>12</v>
      </c>
      <c r="AA20" s="92">
        <v>12</v>
      </c>
      <c r="AC20" s="93">
        <v>4.5</v>
      </c>
      <c r="AD20" s="91">
        <v>0.1</v>
      </c>
      <c r="AE20" s="97">
        <v>0.01</v>
      </c>
      <c r="AG20" s="45">
        <f t="shared" si="2"/>
        <v>9</v>
      </c>
      <c r="AI20" s="98"/>
      <c r="AJ20" s="55">
        <f t="shared" si="3"/>
      </c>
      <c r="AK20" s="98"/>
      <c r="AL20" s="55">
        <f t="shared" si="4"/>
      </c>
      <c r="AM20" s="98"/>
      <c r="AN20" s="55">
        <f t="shared" si="5"/>
      </c>
      <c r="AO20" s="110"/>
      <c r="AQ20" s="100"/>
      <c r="AR20" s="55">
        <f t="shared" si="6"/>
      </c>
      <c r="AS20" s="98"/>
      <c r="AT20" s="55">
        <f t="shared" si="7"/>
      </c>
      <c r="AU20" s="98"/>
      <c r="AV20" s="55">
        <f t="shared" si="8"/>
      </c>
      <c r="AX20" s="100">
        <v>39009</v>
      </c>
      <c r="AY20" s="101">
        <v>1</v>
      </c>
      <c r="AZ20" s="102">
        <v>2.75</v>
      </c>
      <c r="BA20" s="98">
        <v>24.8</v>
      </c>
      <c r="BB20" s="102">
        <v>29</v>
      </c>
      <c r="BC20" s="98">
        <v>12</v>
      </c>
      <c r="BD20" s="98"/>
      <c r="BE20" s="103"/>
      <c r="BG20" s="100">
        <v>12</v>
      </c>
      <c r="BH20" s="84" t="s">
        <v>229</v>
      </c>
      <c r="BI20" s="104" t="s">
        <v>230</v>
      </c>
      <c r="CE20" s="69"/>
      <c r="CF20" s="20" t="s">
        <v>142</v>
      </c>
      <c r="CG20" s="106"/>
      <c r="CH20" s="106"/>
      <c r="CI20" s="286"/>
      <c r="CJ20" s="106"/>
      <c r="CK20" s="106"/>
      <c r="CL20" s="20"/>
      <c r="CM20" s="152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3">
        <v>2348626</v>
      </c>
      <c r="D21" s="139">
        <f t="shared" si="0"/>
        <v>2.538</v>
      </c>
      <c r="E21" s="142">
        <v>3.8</v>
      </c>
      <c r="F21" s="143">
        <v>0.6</v>
      </c>
      <c r="G21" s="184" t="str">
        <f t="shared" si="1"/>
        <v>0.00</v>
      </c>
      <c r="H21" s="113">
        <v>2000</v>
      </c>
      <c r="I21" s="114">
        <v>4500</v>
      </c>
      <c r="K21" s="115" t="s">
        <v>210</v>
      </c>
      <c r="L21" s="113">
        <v>21</v>
      </c>
      <c r="M21" s="116">
        <v>0</v>
      </c>
      <c r="O21" s="117"/>
      <c r="Q21" s="108"/>
      <c r="R21" s="153"/>
      <c r="S21" s="109"/>
      <c r="U21" s="118">
        <v>7.2</v>
      </c>
      <c r="V21" s="119">
        <v>7.1</v>
      </c>
      <c r="W21" s="120">
        <v>6.8</v>
      </c>
      <c r="Y21" s="121">
        <v>13.4</v>
      </c>
      <c r="Z21" s="122">
        <v>12</v>
      </c>
      <c r="AA21" s="123">
        <v>11</v>
      </c>
      <c r="AC21" s="118">
        <v>5</v>
      </c>
      <c r="AD21" s="124">
        <v>0.01</v>
      </c>
      <c r="AE21" s="125">
        <v>0.01</v>
      </c>
      <c r="AG21" s="45">
        <f t="shared" si="2"/>
        <v>10</v>
      </c>
      <c r="AI21" s="126">
        <v>234</v>
      </c>
      <c r="AJ21" s="65">
        <f t="shared" si="3"/>
        <v>4953.0592799999995</v>
      </c>
      <c r="AK21" s="126"/>
      <c r="AL21" s="65">
        <f t="shared" si="4"/>
      </c>
      <c r="AM21" s="126">
        <v>16</v>
      </c>
      <c r="AN21" s="65">
        <f t="shared" si="5"/>
        <v>338.67071999999996</v>
      </c>
      <c r="AO21" s="127">
        <v>11</v>
      </c>
      <c r="AQ21" s="128">
        <v>222</v>
      </c>
      <c r="AR21" s="65">
        <f t="shared" si="6"/>
        <v>4699.056239999999</v>
      </c>
      <c r="AS21" s="126"/>
      <c r="AT21" s="65">
        <f t="shared" si="7"/>
      </c>
      <c r="AU21" s="126">
        <v>23</v>
      </c>
      <c r="AV21" s="65">
        <f t="shared" si="8"/>
        <v>486.83915999999994</v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5">
        <v>2351214</v>
      </c>
      <c r="D22" s="138">
        <f t="shared" si="0"/>
        <v>2.588</v>
      </c>
      <c r="E22" s="140">
        <v>4.4</v>
      </c>
      <c r="F22" s="141">
        <v>1.3</v>
      </c>
      <c r="G22" s="81" t="str">
        <f t="shared" si="1"/>
        <v>0.00</v>
      </c>
      <c r="H22" s="85">
        <v>3650</v>
      </c>
      <c r="I22" s="86">
        <v>4750</v>
      </c>
      <c r="K22" s="87" t="s">
        <v>208</v>
      </c>
      <c r="L22" s="85">
        <v>43</v>
      </c>
      <c r="M22" s="88">
        <v>1.37</v>
      </c>
      <c r="O22" s="107"/>
      <c r="Q22" s="108" t="s">
        <v>4</v>
      </c>
      <c r="R22" s="153" t="s">
        <v>4</v>
      </c>
      <c r="S22" s="109" t="s">
        <v>4</v>
      </c>
      <c r="U22" s="93">
        <v>7.3</v>
      </c>
      <c r="V22" s="94">
        <v>7.1</v>
      </c>
      <c r="W22" s="95">
        <v>6.6</v>
      </c>
      <c r="Y22" s="90">
        <v>14</v>
      </c>
      <c r="Z22" s="96">
        <v>14</v>
      </c>
      <c r="AA22" s="92">
        <v>14</v>
      </c>
      <c r="AC22" s="93">
        <v>4.5</v>
      </c>
      <c r="AD22" s="91">
        <v>0.1</v>
      </c>
      <c r="AE22" s="97">
        <v>0.01</v>
      </c>
      <c r="AG22" s="45">
        <f t="shared" si="2"/>
        <v>11</v>
      </c>
      <c r="AI22" s="98">
        <v>245</v>
      </c>
      <c r="AJ22" s="55">
        <f t="shared" si="3"/>
        <v>5288.0604</v>
      </c>
      <c r="AK22" s="98"/>
      <c r="AL22" s="55">
        <f t="shared" si="4"/>
      </c>
      <c r="AM22" s="98">
        <v>17</v>
      </c>
      <c r="AN22" s="55">
        <f t="shared" si="5"/>
        <v>366.92664</v>
      </c>
      <c r="AO22" s="110">
        <v>11</v>
      </c>
      <c r="AQ22" s="100">
        <v>210</v>
      </c>
      <c r="AR22" s="55">
        <f t="shared" si="6"/>
        <v>4532.6232</v>
      </c>
      <c r="AS22" s="98"/>
      <c r="AT22" s="55">
        <f t="shared" si="7"/>
      </c>
      <c r="AU22" s="98">
        <v>23</v>
      </c>
      <c r="AV22" s="55">
        <f t="shared" si="8"/>
        <v>496.43016</v>
      </c>
      <c r="AX22" s="100">
        <v>29143</v>
      </c>
      <c r="AY22" s="101">
        <v>5</v>
      </c>
      <c r="AZ22" s="102">
        <v>1.75</v>
      </c>
      <c r="BA22" s="98">
        <v>24.8</v>
      </c>
      <c r="BB22" s="102">
        <v>28</v>
      </c>
      <c r="BC22" s="98">
        <v>12</v>
      </c>
      <c r="BD22" s="98"/>
      <c r="BE22" s="103"/>
      <c r="BG22" s="100">
        <v>12</v>
      </c>
      <c r="BH22" s="84" t="s">
        <v>229</v>
      </c>
      <c r="BI22" s="104" t="s">
        <v>230</v>
      </c>
      <c r="BK22" s="17"/>
      <c r="BL22" s="19"/>
      <c r="BM22" s="56" t="s">
        <v>21</v>
      </c>
      <c r="BN22" s="20"/>
      <c r="BO22" s="57" t="s">
        <v>130</v>
      </c>
      <c r="BP22" s="26"/>
      <c r="BQ22" s="186">
        <f>(IF(((SUM(AV12:AV42))=0)," ",(AVERAGE(AV12:AV42))))</f>
        <v>549.515543076923</v>
      </c>
      <c r="BR22" s="186">
        <f>MAX(AV12:AV42)</f>
        <v>880.0785000000001</v>
      </c>
      <c r="BS22" s="26" t="s">
        <v>126</v>
      </c>
      <c r="BT22" s="26"/>
      <c r="BU22" s="186">
        <f>(IF(((SUM(AU12:AU42))=0)," ",(AVERAGE(AU12:AU42))))</f>
        <v>20.46153846153846</v>
      </c>
      <c r="BV22" s="58">
        <f>(CJ23)</f>
        <v>25</v>
      </c>
      <c r="BW22" s="186">
        <f>MAX(AU12:AU42)</f>
        <v>28</v>
      </c>
      <c r="BX22" s="26" t="s">
        <v>128</v>
      </c>
      <c r="BY22" s="26"/>
      <c r="BZ22" s="26">
        <v>0</v>
      </c>
      <c r="CA22" s="267" t="s">
        <v>47</v>
      </c>
      <c r="CB22" s="26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5">
        <v>2354699</v>
      </c>
      <c r="D23" s="138">
        <f t="shared" si="0"/>
        <v>3.485</v>
      </c>
      <c r="E23" s="140">
        <v>4.4</v>
      </c>
      <c r="F23" s="141">
        <v>1.1</v>
      </c>
      <c r="G23" s="81" t="str">
        <f t="shared" si="1"/>
        <v>0.00</v>
      </c>
      <c r="H23" s="85">
        <v>2550</v>
      </c>
      <c r="I23" s="86">
        <v>4000</v>
      </c>
      <c r="K23" s="87" t="s">
        <v>210</v>
      </c>
      <c r="L23" s="85">
        <v>36</v>
      </c>
      <c r="M23" s="88">
        <v>0.02</v>
      </c>
      <c r="O23" s="107"/>
      <c r="Q23" s="108"/>
      <c r="R23" s="153"/>
      <c r="S23" s="109"/>
      <c r="U23" s="93">
        <v>7</v>
      </c>
      <c r="V23" s="94">
        <v>7</v>
      </c>
      <c r="W23" s="95">
        <v>6.8</v>
      </c>
      <c r="Y23" s="90">
        <v>13</v>
      </c>
      <c r="Z23" s="96">
        <v>12</v>
      </c>
      <c r="AA23" s="92">
        <v>12</v>
      </c>
      <c r="AC23" s="93">
        <v>3.5</v>
      </c>
      <c r="AD23" s="91">
        <v>0.01</v>
      </c>
      <c r="AE23" s="97">
        <v>0</v>
      </c>
      <c r="AG23" s="45">
        <f t="shared" si="2"/>
        <v>12</v>
      </c>
      <c r="AI23" s="98">
        <v>255</v>
      </c>
      <c r="AJ23" s="55">
        <f t="shared" si="3"/>
        <v>7411.549499999999</v>
      </c>
      <c r="AK23" s="98">
        <v>140</v>
      </c>
      <c r="AL23" s="55">
        <f t="shared" si="4"/>
        <v>4069.086</v>
      </c>
      <c r="AM23" s="98">
        <v>19</v>
      </c>
      <c r="AN23" s="55">
        <f t="shared" si="5"/>
        <v>552.2331</v>
      </c>
      <c r="AO23" s="110">
        <v>13</v>
      </c>
      <c r="AQ23" s="100">
        <v>234</v>
      </c>
      <c r="AR23" s="55">
        <f t="shared" si="6"/>
        <v>6801.1866</v>
      </c>
      <c r="AS23" s="98">
        <v>99</v>
      </c>
      <c r="AT23" s="55">
        <f t="shared" si="7"/>
        <v>2877.4251</v>
      </c>
      <c r="AU23" s="98">
        <v>24</v>
      </c>
      <c r="AV23" s="55">
        <f t="shared" si="8"/>
        <v>697.5576</v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68">
        <v>963</v>
      </c>
      <c r="BR23" s="268">
        <v>1605</v>
      </c>
      <c r="BS23" s="155" t="s">
        <v>126</v>
      </c>
      <c r="BT23" s="26"/>
      <c r="BU23" s="268">
        <v>30</v>
      </c>
      <c r="BV23" s="269">
        <v>45</v>
      </c>
      <c r="BW23" s="268">
        <v>50</v>
      </c>
      <c r="BX23" s="155" t="s">
        <v>128</v>
      </c>
      <c r="BY23" s="26"/>
      <c r="BZ23" s="270" t="s">
        <v>150</v>
      </c>
      <c r="CA23" s="271" t="s">
        <v>47</v>
      </c>
      <c r="CB23" s="155">
        <v>24</v>
      </c>
      <c r="CC23" s="137"/>
      <c r="CE23" s="69"/>
      <c r="CF23" s="72" t="s">
        <v>53</v>
      </c>
      <c r="CG23" s="186">
        <f>(IF(((SUM(CG12:CG20))=0)," ",(MAX(CG12:CG20))))</f>
        <v>19</v>
      </c>
      <c r="CH23" s="186">
        <f>(IF(((SUM(CH12:CH20))=0)," ",(MAX(CH12:CH20))))</f>
        <v>610.8494</v>
      </c>
      <c r="CI23" s="186"/>
      <c r="CJ23" s="186">
        <f>(IF(((SUM(CJ12:CJ20))=0)," ",(MAX(CJ12:CJ20))))</f>
        <v>25</v>
      </c>
      <c r="CK23" s="186">
        <f>(IF(((SUM(CK12:CK20))=0)," ",(MAX(CK12:CK20))))</f>
        <v>794.7658600000001</v>
      </c>
      <c r="CL23" s="71"/>
      <c r="CM23" s="60">
        <f>(MAX(CM12:CM20))</f>
        <v>0.004285714285714286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5">
        <v>2358130</v>
      </c>
      <c r="D24" s="138">
        <f t="shared" si="0"/>
        <v>3.431</v>
      </c>
      <c r="E24" s="140">
        <v>4.4</v>
      </c>
      <c r="F24" s="141">
        <v>1</v>
      </c>
      <c r="G24" s="81" t="str">
        <f t="shared" si="1"/>
        <v>0.00</v>
      </c>
      <c r="H24" s="85">
        <v>1000</v>
      </c>
      <c r="I24" s="86">
        <v>0</v>
      </c>
      <c r="K24" s="87" t="s">
        <v>210</v>
      </c>
      <c r="L24" s="85">
        <v>19</v>
      </c>
      <c r="M24" s="88">
        <v>0</v>
      </c>
      <c r="O24" s="107"/>
      <c r="Q24" s="108" t="s">
        <v>10</v>
      </c>
      <c r="R24" s="153" t="s">
        <v>10</v>
      </c>
      <c r="S24" s="109" t="s">
        <v>10</v>
      </c>
      <c r="U24" s="93">
        <v>7</v>
      </c>
      <c r="V24" s="94">
        <v>7</v>
      </c>
      <c r="W24" s="95">
        <v>6.8</v>
      </c>
      <c r="Y24" s="90">
        <v>13</v>
      </c>
      <c r="Z24" s="96">
        <v>12</v>
      </c>
      <c r="AA24" s="92">
        <v>12</v>
      </c>
      <c r="AC24" s="93">
        <v>2.5</v>
      </c>
      <c r="AD24" s="91">
        <v>0.01</v>
      </c>
      <c r="AE24" s="97">
        <v>0</v>
      </c>
      <c r="AG24" s="45">
        <f t="shared" si="2"/>
        <v>13</v>
      </c>
      <c r="AI24" s="98"/>
      <c r="AJ24" s="55">
        <f t="shared" si="3"/>
      </c>
      <c r="AK24" s="98"/>
      <c r="AL24" s="55">
        <f t="shared" si="4"/>
      </c>
      <c r="AM24" s="98"/>
      <c r="AN24" s="55">
        <f t="shared" si="5"/>
      </c>
      <c r="AO24" s="110"/>
      <c r="AQ24" s="100"/>
      <c r="AR24" s="55">
        <f t="shared" si="6"/>
      </c>
      <c r="AS24" s="98"/>
      <c r="AT24" s="55">
        <f t="shared" si="7"/>
      </c>
      <c r="AU24" s="98"/>
      <c r="AV24" s="55">
        <f t="shared" si="8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5">
        <v>2361326</v>
      </c>
      <c r="D25" s="138">
        <f t="shared" si="0"/>
        <v>3.196</v>
      </c>
      <c r="E25" s="140">
        <v>4.2</v>
      </c>
      <c r="F25" s="141">
        <v>1</v>
      </c>
      <c r="G25" s="81" t="str">
        <f t="shared" si="1"/>
        <v>0.00</v>
      </c>
      <c r="H25" s="85">
        <v>0</v>
      </c>
      <c r="I25" s="86">
        <v>0</v>
      </c>
      <c r="K25" s="87" t="s">
        <v>210</v>
      </c>
      <c r="L25" s="85">
        <v>15</v>
      </c>
      <c r="M25" s="88">
        <v>0</v>
      </c>
      <c r="O25" s="107"/>
      <c r="Q25" s="108"/>
      <c r="R25" s="153"/>
      <c r="S25" s="109"/>
      <c r="U25" s="93">
        <v>6.9</v>
      </c>
      <c r="V25" s="94">
        <v>7</v>
      </c>
      <c r="W25" s="95">
        <v>6.9</v>
      </c>
      <c r="Y25" s="90">
        <v>12</v>
      </c>
      <c r="Z25" s="96">
        <v>12</v>
      </c>
      <c r="AA25" s="92">
        <v>11</v>
      </c>
      <c r="AC25" s="93">
        <v>2</v>
      </c>
      <c r="AD25" s="91">
        <v>0.01</v>
      </c>
      <c r="AE25" s="97">
        <v>0</v>
      </c>
      <c r="AG25" s="45">
        <f t="shared" si="2"/>
        <v>14</v>
      </c>
      <c r="AI25" s="98"/>
      <c r="AJ25" s="55">
        <f t="shared" si="3"/>
      </c>
      <c r="AK25" s="98"/>
      <c r="AL25" s="55">
        <f t="shared" si="4"/>
      </c>
      <c r="AM25" s="98"/>
      <c r="AN25" s="55">
        <f t="shared" si="5"/>
      </c>
      <c r="AO25" s="110"/>
      <c r="AQ25" s="100"/>
      <c r="AR25" s="55">
        <f t="shared" si="6"/>
      </c>
      <c r="AS25" s="98"/>
      <c r="AT25" s="55">
        <f t="shared" si="7"/>
      </c>
      <c r="AU25" s="98"/>
      <c r="AV25" s="55">
        <f t="shared" si="8"/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3">
        <v>2364510</v>
      </c>
      <c r="D26" s="139">
        <f t="shared" si="0"/>
        <v>3.184</v>
      </c>
      <c r="E26" s="142">
        <v>4.2</v>
      </c>
      <c r="F26" s="143">
        <v>1.2</v>
      </c>
      <c r="G26" s="184" t="str">
        <f t="shared" si="1"/>
        <v>0.00</v>
      </c>
      <c r="H26" s="113">
        <v>0</v>
      </c>
      <c r="I26" s="114">
        <v>0</v>
      </c>
      <c r="K26" s="115" t="s">
        <v>209</v>
      </c>
      <c r="L26" s="113">
        <v>25</v>
      </c>
      <c r="M26" s="116">
        <v>0</v>
      </c>
      <c r="O26" s="117"/>
      <c r="Q26" s="108" t="s">
        <v>11</v>
      </c>
      <c r="R26" s="153" t="s">
        <v>11</v>
      </c>
      <c r="S26" s="109" t="s">
        <v>11</v>
      </c>
      <c r="U26" s="118">
        <v>7.3</v>
      </c>
      <c r="V26" s="119">
        <v>7.2</v>
      </c>
      <c r="W26" s="120">
        <v>6.9</v>
      </c>
      <c r="Y26" s="121">
        <v>13</v>
      </c>
      <c r="Z26" s="122">
        <v>10</v>
      </c>
      <c r="AA26" s="123">
        <v>10</v>
      </c>
      <c r="AC26" s="118">
        <v>8</v>
      </c>
      <c r="AD26" s="124">
        <v>0.01</v>
      </c>
      <c r="AE26" s="125">
        <v>0</v>
      </c>
      <c r="AG26" s="45">
        <f t="shared" si="2"/>
        <v>15</v>
      </c>
      <c r="AI26" s="126"/>
      <c r="AJ26" s="65">
        <f t="shared" si="3"/>
      </c>
      <c r="AK26" s="126"/>
      <c r="AL26" s="65">
        <f t="shared" si="4"/>
      </c>
      <c r="AM26" s="126"/>
      <c r="AN26" s="65">
        <f t="shared" si="5"/>
      </c>
      <c r="AO26" s="127"/>
      <c r="AQ26" s="128"/>
      <c r="AR26" s="65">
        <f t="shared" si="6"/>
      </c>
      <c r="AS26" s="126"/>
      <c r="AT26" s="65">
        <f t="shared" si="7"/>
      </c>
      <c r="AU26" s="126"/>
      <c r="AV26" s="65">
        <f t="shared" si="8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5">
        <v>2367479</v>
      </c>
      <c r="D27" s="138">
        <f t="shared" si="0"/>
        <v>2.969</v>
      </c>
      <c r="E27" s="140">
        <v>5.2</v>
      </c>
      <c r="F27" s="141">
        <v>1.2</v>
      </c>
      <c r="G27" s="81" t="str">
        <f t="shared" si="1"/>
        <v>0.00</v>
      </c>
      <c r="H27" s="85">
        <v>6000</v>
      </c>
      <c r="I27" s="86">
        <v>1000</v>
      </c>
      <c r="K27" s="87" t="s">
        <v>210</v>
      </c>
      <c r="L27" s="85">
        <v>30</v>
      </c>
      <c r="M27" s="88">
        <v>0.3</v>
      </c>
      <c r="O27" s="107"/>
      <c r="Q27" s="108"/>
      <c r="R27" s="153"/>
      <c r="S27" s="109"/>
      <c r="U27" s="93">
        <v>7.7</v>
      </c>
      <c r="V27" s="94">
        <v>7.5</v>
      </c>
      <c r="W27" s="95">
        <v>6.8</v>
      </c>
      <c r="Y27" s="90">
        <v>13</v>
      </c>
      <c r="Z27" s="96">
        <v>12</v>
      </c>
      <c r="AA27" s="92">
        <v>11</v>
      </c>
      <c r="AC27" s="93">
        <v>5</v>
      </c>
      <c r="AD27" s="91">
        <v>0.01</v>
      </c>
      <c r="AE27" s="97">
        <v>0</v>
      </c>
      <c r="AG27" s="45">
        <f t="shared" si="2"/>
        <v>16</v>
      </c>
      <c r="AI27" s="98"/>
      <c r="AJ27" s="55">
        <f t="shared" si="3"/>
      </c>
      <c r="AK27" s="98"/>
      <c r="AL27" s="55">
        <f t="shared" si="4"/>
      </c>
      <c r="AM27" s="98"/>
      <c r="AN27" s="55">
        <f t="shared" si="5"/>
      </c>
      <c r="AO27" s="110"/>
      <c r="AQ27" s="100"/>
      <c r="AR27" s="55">
        <f t="shared" si="6"/>
      </c>
      <c r="AS27" s="98"/>
      <c r="AT27" s="55">
        <f t="shared" si="7"/>
      </c>
      <c r="AU27" s="98"/>
      <c r="AV27" s="55">
        <f t="shared" si="8"/>
      </c>
      <c r="AX27" s="100">
        <v>65395</v>
      </c>
      <c r="AY27" s="101">
        <v>2</v>
      </c>
      <c r="AZ27" s="102">
        <v>4</v>
      </c>
      <c r="BA27" s="98">
        <v>40.3</v>
      </c>
      <c r="BB27" s="102">
        <v>29</v>
      </c>
      <c r="BC27" s="98">
        <v>24</v>
      </c>
      <c r="BD27" s="98"/>
      <c r="BE27" s="103"/>
      <c r="BG27" s="100">
        <v>24</v>
      </c>
      <c r="BH27" s="84" t="s">
        <v>229</v>
      </c>
      <c r="BI27" s="104" t="s">
        <v>230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5">
        <v>2370615</v>
      </c>
      <c r="D28" s="138">
        <f t="shared" si="0"/>
        <v>3.136</v>
      </c>
      <c r="E28" s="140">
        <v>6.2</v>
      </c>
      <c r="F28" s="141">
        <v>2.2</v>
      </c>
      <c r="G28" s="81" t="str">
        <f t="shared" si="1"/>
        <v>0.00</v>
      </c>
      <c r="H28" s="85">
        <v>350</v>
      </c>
      <c r="I28" s="86">
        <v>2000</v>
      </c>
      <c r="K28" s="87" t="s">
        <v>208</v>
      </c>
      <c r="L28" s="85">
        <v>39</v>
      </c>
      <c r="M28" s="88">
        <v>1.33</v>
      </c>
      <c r="O28" s="107"/>
      <c r="Q28" s="108"/>
      <c r="R28" s="153"/>
      <c r="S28" s="109"/>
      <c r="U28" s="93">
        <v>7.1</v>
      </c>
      <c r="V28" s="94">
        <v>7.1</v>
      </c>
      <c r="W28" s="95">
        <v>6.9</v>
      </c>
      <c r="Y28" s="90">
        <v>14</v>
      </c>
      <c r="Z28" s="96">
        <v>12</v>
      </c>
      <c r="AA28" s="92">
        <v>12</v>
      </c>
      <c r="AC28" s="93">
        <v>4</v>
      </c>
      <c r="AD28" s="91">
        <v>0</v>
      </c>
      <c r="AE28" s="97">
        <v>0</v>
      </c>
      <c r="AG28" s="45">
        <f t="shared" si="2"/>
        <v>17</v>
      </c>
      <c r="AI28" s="98">
        <v>169</v>
      </c>
      <c r="AJ28" s="55">
        <f t="shared" si="3"/>
        <v>4420.06656</v>
      </c>
      <c r="AK28" s="98"/>
      <c r="AL28" s="55">
        <f t="shared" si="4"/>
      </c>
      <c r="AM28" s="98">
        <v>19</v>
      </c>
      <c r="AN28" s="55">
        <f t="shared" si="5"/>
        <v>496.93056</v>
      </c>
      <c r="AO28" s="110">
        <v>14</v>
      </c>
      <c r="AQ28" s="100">
        <v>146</v>
      </c>
      <c r="AR28" s="55">
        <f t="shared" si="6"/>
        <v>3818.5190399999997</v>
      </c>
      <c r="AS28" s="98"/>
      <c r="AT28" s="55">
        <f t="shared" si="7"/>
      </c>
      <c r="AU28" s="98">
        <v>28</v>
      </c>
      <c r="AV28" s="55">
        <f t="shared" si="8"/>
        <v>732.3187200000001</v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72" t="s">
        <v>150</v>
      </c>
      <c r="BR28" s="272" t="s">
        <v>150</v>
      </c>
      <c r="BS28" s="272" t="s">
        <v>150</v>
      </c>
      <c r="BT28" s="272"/>
      <c r="BU28" s="272" t="s">
        <v>150</v>
      </c>
      <c r="BV28" s="71">
        <f>(CM23)</f>
        <v>0.004285714285714286</v>
      </c>
      <c r="BW28" s="71">
        <f>MAX(AE12:AE42)</f>
        <v>0.01</v>
      </c>
      <c r="BX28" s="26" t="s">
        <v>128</v>
      </c>
      <c r="BY28" s="26"/>
      <c r="BZ28" s="26">
        <v>0</v>
      </c>
      <c r="CA28" s="267" t="s">
        <v>48</v>
      </c>
      <c r="CB28" s="26" t="s">
        <v>23</v>
      </c>
      <c r="CC28" s="137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5">
        <v>2374836</v>
      </c>
      <c r="D29" s="138">
        <f t="shared" si="0"/>
        <v>4.221</v>
      </c>
      <c r="E29" s="140">
        <v>6.2</v>
      </c>
      <c r="F29" s="141">
        <v>2</v>
      </c>
      <c r="G29" s="81" t="str">
        <f t="shared" si="1"/>
        <v>0.00</v>
      </c>
      <c r="H29" s="85">
        <v>0</v>
      </c>
      <c r="I29" s="86">
        <v>6500</v>
      </c>
      <c r="K29" s="87" t="s">
        <v>213</v>
      </c>
      <c r="L29" s="85">
        <v>37</v>
      </c>
      <c r="M29" s="88">
        <v>0.44</v>
      </c>
      <c r="O29" s="107"/>
      <c r="Q29" s="108"/>
      <c r="R29" s="153"/>
      <c r="S29" s="109"/>
      <c r="U29" s="93">
        <v>6.9</v>
      </c>
      <c r="V29" s="94">
        <v>6.9</v>
      </c>
      <c r="W29" s="95">
        <v>6.6</v>
      </c>
      <c r="Y29" s="90">
        <v>12</v>
      </c>
      <c r="Z29" s="96">
        <v>11</v>
      </c>
      <c r="AA29" s="92">
        <v>11</v>
      </c>
      <c r="AC29" s="93">
        <v>4</v>
      </c>
      <c r="AD29" s="91">
        <v>0.1</v>
      </c>
      <c r="AE29" s="97">
        <v>0</v>
      </c>
      <c r="AG29" s="45">
        <f t="shared" si="2"/>
        <v>18</v>
      </c>
      <c r="AI29" s="98">
        <v>170</v>
      </c>
      <c r="AJ29" s="55">
        <f t="shared" si="3"/>
        <v>5984.5338</v>
      </c>
      <c r="AK29" s="98"/>
      <c r="AL29" s="55">
        <f t="shared" si="4"/>
      </c>
      <c r="AM29" s="98">
        <v>20</v>
      </c>
      <c r="AN29" s="55">
        <f t="shared" si="5"/>
        <v>704.0628</v>
      </c>
      <c r="AO29" s="110">
        <v>14</v>
      </c>
      <c r="AQ29" s="100">
        <v>172</v>
      </c>
      <c r="AR29" s="55">
        <f t="shared" si="6"/>
        <v>6054.94008</v>
      </c>
      <c r="AS29" s="98"/>
      <c r="AT29" s="55">
        <f t="shared" si="7"/>
      </c>
      <c r="AU29" s="98">
        <v>25</v>
      </c>
      <c r="AV29" s="55">
        <f t="shared" si="8"/>
        <v>880.0785000000001</v>
      </c>
      <c r="AX29" s="100">
        <v>55269</v>
      </c>
      <c r="AY29" s="101">
        <v>3</v>
      </c>
      <c r="AZ29" s="102">
        <v>3.75</v>
      </c>
      <c r="BA29" s="98">
        <v>34.1</v>
      </c>
      <c r="BB29" s="102">
        <v>28</v>
      </c>
      <c r="BC29" s="98">
        <v>24</v>
      </c>
      <c r="BD29" s="98"/>
      <c r="BE29" s="103"/>
      <c r="BG29" s="100">
        <v>24</v>
      </c>
      <c r="BH29" s="84" t="s">
        <v>229</v>
      </c>
      <c r="BI29" s="104" t="s">
        <v>230</v>
      </c>
      <c r="BK29" s="17"/>
      <c r="BL29" s="19"/>
      <c r="BM29" s="26" t="s">
        <v>86</v>
      </c>
      <c r="BN29" s="20"/>
      <c r="BO29" s="154" t="s">
        <v>131</v>
      </c>
      <c r="BP29" s="26"/>
      <c r="BQ29" s="270" t="s">
        <v>150</v>
      </c>
      <c r="BR29" s="270" t="s">
        <v>150</v>
      </c>
      <c r="BS29" s="270" t="s">
        <v>150</v>
      </c>
      <c r="BT29" s="272"/>
      <c r="BU29" s="270" t="s">
        <v>150</v>
      </c>
      <c r="BV29" s="155" t="s">
        <v>146</v>
      </c>
      <c r="BW29" s="155">
        <v>0.3</v>
      </c>
      <c r="BX29" s="155" t="s">
        <v>128</v>
      </c>
      <c r="BY29" s="26"/>
      <c r="BZ29" s="270" t="s">
        <v>150</v>
      </c>
      <c r="CA29" s="271" t="s">
        <v>48</v>
      </c>
      <c r="CB29" s="155" t="s">
        <v>23</v>
      </c>
      <c r="CC29" s="137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5">
        <v>2379043</v>
      </c>
      <c r="D30" s="138">
        <f t="shared" si="0"/>
        <v>4.207</v>
      </c>
      <c r="E30" s="140">
        <v>4.8</v>
      </c>
      <c r="F30" s="141">
        <v>1.4</v>
      </c>
      <c r="G30" s="81" t="str">
        <f t="shared" si="1"/>
        <v>0.00</v>
      </c>
      <c r="H30" s="85">
        <v>6100</v>
      </c>
      <c r="I30" s="86">
        <v>3750</v>
      </c>
      <c r="K30" s="87" t="s">
        <v>210</v>
      </c>
      <c r="L30" s="85">
        <v>29</v>
      </c>
      <c r="M30" s="88">
        <v>0</v>
      </c>
      <c r="O30" s="107"/>
      <c r="Q30" s="108" t="s">
        <v>12</v>
      </c>
      <c r="R30" s="153" t="s">
        <v>12</v>
      </c>
      <c r="S30" s="109" t="s">
        <v>12</v>
      </c>
      <c r="U30" s="93">
        <v>7</v>
      </c>
      <c r="V30" s="94">
        <v>6.9</v>
      </c>
      <c r="W30" s="95">
        <v>6.9</v>
      </c>
      <c r="Y30" s="90">
        <v>12</v>
      </c>
      <c r="Z30" s="96">
        <v>11</v>
      </c>
      <c r="AA30" s="92">
        <v>11</v>
      </c>
      <c r="AC30" s="93">
        <v>3.5</v>
      </c>
      <c r="AD30" s="91">
        <v>0.01</v>
      </c>
      <c r="AE30" s="97">
        <v>0</v>
      </c>
      <c r="AG30" s="45">
        <f t="shared" si="2"/>
        <v>19</v>
      </c>
      <c r="AI30" s="98">
        <v>128</v>
      </c>
      <c r="AJ30" s="55">
        <f t="shared" si="3"/>
        <v>4491.05664</v>
      </c>
      <c r="AK30" s="98">
        <v>92</v>
      </c>
      <c r="AL30" s="55">
        <f t="shared" si="4"/>
        <v>3227.9469599999998</v>
      </c>
      <c r="AM30" s="98">
        <v>18</v>
      </c>
      <c r="AN30" s="55">
        <f t="shared" si="5"/>
        <v>631.55484</v>
      </c>
      <c r="AO30" s="110"/>
      <c r="AQ30" s="100">
        <v>120</v>
      </c>
      <c r="AR30" s="55">
        <f t="shared" si="6"/>
        <v>4210.3656</v>
      </c>
      <c r="AS30" s="98">
        <v>63</v>
      </c>
      <c r="AT30" s="55">
        <f t="shared" si="7"/>
        <v>2210.44194</v>
      </c>
      <c r="AU30" s="98">
        <v>22</v>
      </c>
      <c r="AV30" s="55">
        <f t="shared" si="8"/>
        <v>771.90036</v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3">
        <v>2382742</v>
      </c>
      <c r="D31" s="139">
        <f t="shared" si="0"/>
        <v>3.699</v>
      </c>
      <c r="E31" s="142">
        <v>4.6</v>
      </c>
      <c r="F31" s="143">
        <v>1.4</v>
      </c>
      <c r="G31" s="184" t="str">
        <f t="shared" si="1"/>
        <v>0.00</v>
      </c>
      <c r="H31" s="113">
        <v>0</v>
      </c>
      <c r="I31" s="114">
        <v>1000</v>
      </c>
      <c r="K31" s="115" t="s">
        <v>208</v>
      </c>
      <c r="L31" s="113">
        <v>26</v>
      </c>
      <c r="M31" s="116">
        <v>0</v>
      </c>
      <c r="O31" s="117"/>
      <c r="Q31" s="108"/>
      <c r="R31" s="153"/>
      <c r="S31" s="109"/>
      <c r="U31" s="118">
        <v>6.9</v>
      </c>
      <c r="V31" s="119">
        <v>7</v>
      </c>
      <c r="W31" s="120">
        <v>6.8</v>
      </c>
      <c r="Y31" s="121">
        <v>12</v>
      </c>
      <c r="Z31" s="122">
        <v>11</v>
      </c>
      <c r="AA31" s="123">
        <v>11</v>
      </c>
      <c r="AC31" s="118">
        <v>3</v>
      </c>
      <c r="AD31" s="124">
        <v>0</v>
      </c>
      <c r="AE31" s="125">
        <v>0</v>
      </c>
      <c r="AG31" s="45">
        <f t="shared" si="2"/>
        <v>20</v>
      </c>
      <c r="AI31" s="126"/>
      <c r="AJ31" s="65">
        <f t="shared" si="3"/>
      </c>
      <c r="AK31" s="126"/>
      <c r="AL31" s="65">
        <f t="shared" si="4"/>
      </c>
      <c r="AM31" s="126"/>
      <c r="AN31" s="65">
        <f t="shared" si="5"/>
      </c>
      <c r="AO31" s="127"/>
      <c r="AQ31" s="128"/>
      <c r="AR31" s="65">
        <f t="shared" si="6"/>
      </c>
      <c r="AS31" s="126"/>
      <c r="AT31" s="65">
        <f t="shared" si="7"/>
      </c>
      <c r="AU31" s="126"/>
      <c r="AV31" s="65">
        <f t="shared" si="8"/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5">
        <v>2386128</v>
      </c>
      <c r="D32" s="138">
        <f t="shared" si="0"/>
        <v>3.386</v>
      </c>
      <c r="E32" s="140">
        <v>4</v>
      </c>
      <c r="F32" s="141">
        <v>1.2</v>
      </c>
      <c r="G32" s="81" t="str">
        <f t="shared" si="1"/>
        <v>0.00</v>
      </c>
      <c r="H32" s="85">
        <v>0</v>
      </c>
      <c r="I32" s="86">
        <v>0</v>
      </c>
      <c r="K32" s="87" t="s">
        <v>208</v>
      </c>
      <c r="L32" s="85">
        <v>23</v>
      </c>
      <c r="M32" s="88">
        <v>0</v>
      </c>
      <c r="O32" s="107"/>
      <c r="Q32" s="108" t="s">
        <v>13</v>
      </c>
      <c r="R32" s="153" t="s">
        <v>13</v>
      </c>
      <c r="S32" s="109" t="s">
        <v>13</v>
      </c>
      <c r="U32" s="93">
        <v>6.7</v>
      </c>
      <c r="V32" s="94">
        <v>6.8</v>
      </c>
      <c r="W32" s="95">
        <v>6.9</v>
      </c>
      <c r="Y32" s="90">
        <v>12</v>
      </c>
      <c r="Z32" s="96">
        <v>9</v>
      </c>
      <c r="AA32" s="92">
        <v>8</v>
      </c>
      <c r="AC32" s="93">
        <v>2.5</v>
      </c>
      <c r="AD32" s="91">
        <v>0</v>
      </c>
      <c r="AE32" s="97">
        <v>0</v>
      </c>
      <c r="AG32" s="45">
        <f t="shared" si="2"/>
        <v>21</v>
      </c>
      <c r="AI32" s="98"/>
      <c r="AJ32" s="55">
        <f t="shared" si="3"/>
      </c>
      <c r="AK32" s="98"/>
      <c r="AL32" s="55">
        <f t="shared" si="4"/>
      </c>
      <c r="AM32" s="98"/>
      <c r="AN32" s="55">
        <f t="shared" si="5"/>
      </c>
      <c r="AO32" s="110"/>
      <c r="AQ32" s="100"/>
      <c r="AR32" s="55">
        <f t="shared" si="6"/>
      </c>
      <c r="AS32" s="98"/>
      <c r="AT32" s="55">
        <f t="shared" si="7"/>
      </c>
      <c r="AU32" s="98"/>
      <c r="AV32" s="55">
        <f t="shared" si="8"/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5">
        <v>2389288</v>
      </c>
      <c r="D33" s="138">
        <f t="shared" si="0"/>
        <v>3.16</v>
      </c>
      <c r="E33" s="140">
        <v>4.6</v>
      </c>
      <c r="F33" s="141">
        <v>1</v>
      </c>
      <c r="G33" s="81" t="str">
        <f t="shared" si="1"/>
        <v>0.00</v>
      </c>
      <c r="H33" s="85">
        <v>4700</v>
      </c>
      <c r="I33" s="86">
        <v>3000</v>
      </c>
      <c r="K33" s="87" t="s">
        <v>210</v>
      </c>
      <c r="L33" s="85">
        <v>31</v>
      </c>
      <c r="M33" s="88">
        <v>0</v>
      </c>
      <c r="O33" s="107"/>
      <c r="Q33" s="108"/>
      <c r="R33" s="153"/>
      <c r="S33" s="109"/>
      <c r="U33" s="93">
        <v>6.9</v>
      </c>
      <c r="V33" s="94">
        <v>6.8</v>
      </c>
      <c r="W33" s="95">
        <v>6.8</v>
      </c>
      <c r="Y33" s="90">
        <v>12</v>
      </c>
      <c r="Z33" s="96">
        <v>11</v>
      </c>
      <c r="AA33" s="92">
        <v>11</v>
      </c>
      <c r="AC33" s="93">
        <v>4</v>
      </c>
      <c r="AD33" s="91">
        <v>0</v>
      </c>
      <c r="AE33" s="97">
        <v>0</v>
      </c>
      <c r="AG33" s="45">
        <f t="shared" si="2"/>
        <v>22</v>
      </c>
      <c r="AI33" s="98">
        <v>163</v>
      </c>
      <c r="AJ33" s="55">
        <f t="shared" si="3"/>
        <v>4295.7672</v>
      </c>
      <c r="AK33" s="98"/>
      <c r="AL33" s="55">
        <f t="shared" si="4"/>
      </c>
      <c r="AM33" s="98">
        <v>14</v>
      </c>
      <c r="AN33" s="55">
        <f t="shared" si="5"/>
        <v>368.96160000000003</v>
      </c>
      <c r="AO33" s="110">
        <v>12</v>
      </c>
      <c r="AQ33" s="100">
        <v>114</v>
      </c>
      <c r="AR33" s="55">
        <f t="shared" si="6"/>
        <v>3004.4016</v>
      </c>
      <c r="AS33" s="98"/>
      <c r="AT33" s="55">
        <f t="shared" si="7"/>
      </c>
      <c r="AU33" s="98">
        <v>16</v>
      </c>
      <c r="AV33" s="55">
        <f t="shared" si="8"/>
        <v>421.67040000000003</v>
      </c>
      <c r="AX33" s="100">
        <v>53907</v>
      </c>
      <c r="AY33" s="101">
        <v>2</v>
      </c>
      <c r="AZ33" s="102">
        <v>3.5</v>
      </c>
      <c r="BA33" s="98">
        <v>34.1</v>
      </c>
      <c r="BB33" s="102">
        <v>31</v>
      </c>
      <c r="BC33" s="98">
        <v>12</v>
      </c>
      <c r="BD33" s="98"/>
      <c r="BE33" s="103"/>
      <c r="BG33" s="100">
        <v>12</v>
      </c>
      <c r="BH33" s="84" t="s">
        <v>229</v>
      </c>
      <c r="BI33" s="104" t="s">
        <v>230</v>
      </c>
      <c r="BK33" s="17"/>
      <c r="BL33" s="19"/>
      <c r="BM33" s="56" t="s">
        <v>1</v>
      </c>
      <c r="BN33" s="20"/>
      <c r="BO33" s="57" t="s">
        <v>130</v>
      </c>
      <c r="BP33" s="26"/>
      <c r="BQ33" s="274">
        <f>(D47)</f>
        <v>3.166935483870968</v>
      </c>
      <c r="BR33" s="274">
        <f>(D45)</f>
        <v>4.221</v>
      </c>
      <c r="BS33" s="26" t="s">
        <v>127</v>
      </c>
      <c r="BT33" s="26"/>
      <c r="BU33" s="272" t="s">
        <v>150</v>
      </c>
      <c r="BV33" s="272" t="s">
        <v>150</v>
      </c>
      <c r="BW33" s="272" t="s">
        <v>150</v>
      </c>
      <c r="BX33" s="272" t="s">
        <v>150</v>
      </c>
      <c r="BY33" s="26"/>
      <c r="BZ33" s="26">
        <v>0</v>
      </c>
      <c r="CA33" s="75" t="s">
        <v>24</v>
      </c>
      <c r="CB33" s="26" t="s">
        <v>25</v>
      </c>
      <c r="CC33" s="137"/>
      <c r="CJ33" s="326" t="s">
        <v>17</v>
      </c>
      <c r="CK33" s="328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5">
        <v>2392384</v>
      </c>
      <c r="D34" s="138">
        <f t="shared" si="0"/>
        <v>3.096</v>
      </c>
      <c r="E34" s="140">
        <v>4.2</v>
      </c>
      <c r="F34" s="141">
        <v>1.2</v>
      </c>
      <c r="G34" s="81" t="str">
        <f t="shared" si="1"/>
        <v>0.00</v>
      </c>
      <c r="H34" s="85">
        <v>1000</v>
      </c>
      <c r="I34" s="86">
        <v>2000</v>
      </c>
      <c r="K34" s="87" t="s">
        <v>210</v>
      </c>
      <c r="L34" s="85">
        <v>33</v>
      </c>
      <c r="M34" s="88">
        <v>0</v>
      </c>
      <c r="O34" s="107"/>
      <c r="Q34" s="108" t="s">
        <v>14</v>
      </c>
      <c r="R34" s="153" t="s">
        <v>14</v>
      </c>
      <c r="S34" s="109" t="s">
        <v>14</v>
      </c>
      <c r="U34" s="93">
        <v>7</v>
      </c>
      <c r="V34" s="94">
        <v>7</v>
      </c>
      <c r="W34" s="95">
        <v>6.8</v>
      </c>
      <c r="Y34" s="90">
        <v>12</v>
      </c>
      <c r="Z34" s="96">
        <v>11</v>
      </c>
      <c r="AA34" s="92">
        <v>11</v>
      </c>
      <c r="AC34" s="93">
        <v>4</v>
      </c>
      <c r="AD34" s="91">
        <v>0.1</v>
      </c>
      <c r="AE34" s="97">
        <v>0</v>
      </c>
      <c r="AG34" s="45">
        <f t="shared" si="2"/>
        <v>23</v>
      </c>
      <c r="AI34" s="98">
        <v>154</v>
      </c>
      <c r="AJ34" s="55">
        <f t="shared" si="3"/>
        <v>3976.3785599999997</v>
      </c>
      <c r="AK34" s="98"/>
      <c r="AL34" s="55">
        <f t="shared" si="4"/>
      </c>
      <c r="AM34" s="98">
        <v>14</v>
      </c>
      <c r="AN34" s="55">
        <f t="shared" si="5"/>
        <v>361.48896</v>
      </c>
      <c r="AO34" s="110">
        <v>11</v>
      </c>
      <c r="AQ34" s="100">
        <v>116</v>
      </c>
      <c r="AR34" s="55">
        <f t="shared" si="6"/>
        <v>2995.1942400000003</v>
      </c>
      <c r="AS34" s="98"/>
      <c r="AT34" s="55">
        <f t="shared" si="7"/>
      </c>
      <c r="AU34" s="98">
        <v>15</v>
      </c>
      <c r="AV34" s="55">
        <f t="shared" si="8"/>
        <v>387.3096</v>
      </c>
      <c r="AX34" s="100">
        <v>25063</v>
      </c>
      <c r="AY34" s="101">
        <v>3</v>
      </c>
      <c r="AZ34" s="102">
        <v>2</v>
      </c>
      <c r="BA34" s="98">
        <v>21.7</v>
      </c>
      <c r="BB34" s="102">
        <v>29</v>
      </c>
      <c r="BC34" s="98">
        <v>12</v>
      </c>
      <c r="BD34" s="98"/>
      <c r="BE34" s="103"/>
      <c r="BG34" s="100">
        <v>12</v>
      </c>
      <c r="BH34" s="84" t="s">
        <v>229</v>
      </c>
      <c r="BI34" s="104" t="s">
        <v>230</v>
      </c>
      <c r="BK34" s="17"/>
      <c r="BL34" s="19"/>
      <c r="BM34" s="26" t="s">
        <v>86</v>
      </c>
      <c r="BN34" s="20"/>
      <c r="BO34" s="154" t="s">
        <v>131</v>
      </c>
      <c r="BP34" s="26"/>
      <c r="BQ34" s="275">
        <v>3.85</v>
      </c>
      <c r="BR34" s="155" t="s">
        <v>146</v>
      </c>
      <c r="BS34" s="155" t="s">
        <v>127</v>
      </c>
      <c r="BT34" s="26"/>
      <c r="BU34" s="270" t="s">
        <v>150</v>
      </c>
      <c r="BV34" s="270" t="s">
        <v>150</v>
      </c>
      <c r="BW34" s="270" t="s">
        <v>150</v>
      </c>
      <c r="BX34" s="270" t="s">
        <v>150</v>
      </c>
      <c r="BY34" s="26"/>
      <c r="BZ34" s="270" t="s">
        <v>150</v>
      </c>
      <c r="CA34" s="276" t="s">
        <v>24</v>
      </c>
      <c r="CB34" s="155" t="s">
        <v>25</v>
      </c>
      <c r="CC34" s="137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5">
        <v>2395485</v>
      </c>
      <c r="D35" s="138">
        <f t="shared" si="0"/>
        <v>3.101</v>
      </c>
      <c r="E35" s="140">
        <v>4.6</v>
      </c>
      <c r="F35" s="141">
        <v>1.8</v>
      </c>
      <c r="G35" s="81" t="str">
        <f t="shared" si="1"/>
        <v>0.00</v>
      </c>
      <c r="H35" s="85">
        <v>3000</v>
      </c>
      <c r="I35" s="86">
        <v>2000</v>
      </c>
      <c r="K35" s="87" t="s">
        <v>208</v>
      </c>
      <c r="L35" s="85">
        <v>44</v>
      </c>
      <c r="M35" s="88">
        <v>0.28</v>
      </c>
      <c r="O35" s="107"/>
      <c r="Q35" s="108"/>
      <c r="R35" s="153"/>
      <c r="S35" s="109"/>
      <c r="U35" s="93">
        <v>7</v>
      </c>
      <c r="V35" s="94">
        <v>7</v>
      </c>
      <c r="W35" s="95">
        <v>6.8</v>
      </c>
      <c r="Y35" s="90">
        <v>12</v>
      </c>
      <c r="Z35" s="96">
        <v>11</v>
      </c>
      <c r="AA35" s="92">
        <v>11</v>
      </c>
      <c r="AC35" s="93">
        <v>4</v>
      </c>
      <c r="AD35" s="91">
        <v>0</v>
      </c>
      <c r="AE35" s="97">
        <v>0</v>
      </c>
      <c r="AG35" s="45">
        <f t="shared" si="2"/>
        <v>24</v>
      </c>
      <c r="AI35" s="98">
        <v>206</v>
      </c>
      <c r="AJ35" s="55">
        <f t="shared" si="3"/>
        <v>5327.642040000001</v>
      </c>
      <c r="AK35" s="98">
        <v>123</v>
      </c>
      <c r="AL35" s="55">
        <f t="shared" si="4"/>
        <v>3181.0678199999998</v>
      </c>
      <c r="AM35" s="98">
        <v>15</v>
      </c>
      <c r="AN35" s="55">
        <f t="shared" si="5"/>
        <v>387.9351</v>
      </c>
      <c r="AO35" s="110">
        <v>11</v>
      </c>
      <c r="AQ35" s="100">
        <v>88</v>
      </c>
      <c r="AR35" s="55">
        <f t="shared" si="6"/>
        <v>2275.8859199999997</v>
      </c>
      <c r="AS35" s="98">
        <v>62</v>
      </c>
      <c r="AT35" s="55">
        <f t="shared" si="7"/>
        <v>1603.46508</v>
      </c>
      <c r="AU35" s="98">
        <v>14</v>
      </c>
      <c r="AV35" s="55">
        <f t="shared" si="8"/>
        <v>362.07276</v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3">
        <v>2398788</v>
      </c>
      <c r="D36" s="139">
        <f t="shared" si="0"/>
        <v>3.303</v>
      </c>
      <c r="E36" s="142">
        <v>4.7</v>
      </c>
      <c r="F36" s="143">
        <v>2</v>
      </c>
      <c r="G36" s="184" t="str">
        <f t="shared" si="1"/>
        <v>0.00</v>
      </c>
      <c r="H36" s="113">
        <v>0</v>
      </c>
      <c r="I36" s="114">
        <v>0</v>
      </c>
      <c r="K36" s="115" t="s">
        <v>208</v>
      </c>
      <c r="L36" s="113">
        <v>44</v>
      </c>
      <c r="M36" s="116">
        <v>0.41</v>
      </c>
      <c r="O36" s="117"/>
      <c r="Q36" s="108" t="s">
        <v>12</v>
      </c>
      <c r="R36" s="153" t="s">
        <v>12</v>
      </c>
      <c r="S36" s="109" t="s">
        <v>12</v>
      </c>
      <c r="U36" s="118">
        <v>6.7</v>
      </c>
      <c r="V36" s="119">
        <v>6.8</v>
      </c>
      <c r="W36" s="120">
        <v>6.6</v>
      </c>
      <c r="Y36" s="121">
        <v>12</v>
      </c>
      <c r="Z36" s="122">
        <v>11</v>
      </c>
      <c r="AA36" s="123">
        <v>12</v>
      </c>
      <c r="AC36" s="118">
        <v>2</v>
      </c>
      <c r="AD36" s="124">
        <v>0.01</v>
      </c>
      <c r="AE36" s="125">
        <v>0</v>
      </c>
      <c r="AG36" s="45">
        <f t="shared" si="2"/>
        <v>25</v>
      </c>
      <c r="AI36" s="126"/>
      <c r="AJ36" s="65">
        <f t="shared" si="3"/>
      </c>
      <c r="AK36" s="126"/>
      <c r="AL36" s="65">
        <f t="shared" si="4"/>
      </c>
      <c r="AM36" s="126"/>
      <c r="AN36" s="65">
        <f t="shared" si="5"/>
      </c>
      <c r="AO36" s="127"/>
      <c r="AQ36" s="128"/>
      <c r="AR36" s="65">
        <f t="shared" si="6"/>
      </c>
      <c r="AS36" s="126"/>
      <c r="AT36" s="65">
        <f t="shared" si="7"/>
      </c>
      <c r="AU36" s="126"/>
      <c r="AV36" s="65">
        <f t="shared" si="8"/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5">
        <v>2402415</v>
      </c>
      <c r="D37" s="138">
        <f t="shared" si="0"/>
        <v>3.627</v>
      </c>
      <c r="E37" s="140">
        <v>4.6</v>
      </c>
      <c r="F37" s="141">
        <v>1.8</v>
      </c>
      <c r="G37" s="81" t="str">
        <f t="shared" si="1"/>
        <v>0.00</v>
      </c>
      <c r="H37" s="85">
        <v>0</v>
      </c>
      <c r="I37" s="86">
        <v>0</v>
      </c>
      <c r="K37" s="87" t="s">
        <v>209</v>
      </c>
      <c r="L37" s="85">
        <v>35</v>
      </c>
      <c r="M37" s="88">
        <v>0.01</v>
      </c>
      <c r="O37" s="107"/>
      <c r="Q37" s="108"/>
      <c r="R37" s="153"/>
      <c r="S37" s="109"/>
      <c r="U37" s="93">
        <v>6.8</v>
      </c>
      <c r="V37" s="94">
        <v>6.9</v>
      </c>
      <c r="W37" s="95">
        <v>6.7</v>
      </c>
      <c r="Y37" s="90">
        <v>12</v>
      </c>
      <c r="Z37" s="96">
        <v>11</v>
      </c>
      <c r="AA37" s="92">
        <v>12</v>
      </c>
      <c r="AC37" s="93">
        <v>4.5</v>
      </c>
      <c r="AD37" s="91">
        <v>0.01</v>
      </c>
      <c r="AE37" s="97">
        <v>0</v>
      </c>
      <c r="AG37" s="45">
        <f t="shared" si="2"/>
        <v>26</v>
      </c>
      <c r="AI37" s="98"/>
      <c r="AJ37" s="55">
        <f t="shared" si="3"/>
      </c>
      <c r="AK37" s="98"/>
      <c r="AL37" s="55">
        <f t="shared" si="4"/>
      </c>
      <c r="AM37" s="98"/>
      <c r="AN37" s="55">
        <f t="shared" si="5"/>
      </c>
      <c r="AO37" s="110"/>
      <c r="AQ37" s="100"/>
      <c r="AR37" s="55">
        <f t="shared" si="6"/>
      </c>
      <c r="AS37" s="98"/>
      <c r="AT37" s="55">
        <f t="shared" si="7"/>
      </c>
      <c r="AU37" s="98"/>
      <c r="AV37" s="55">
        <f t="shared" si="8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6">
        <f>(IF(((SUM(AJ12:AJ42))=0)," ",(((AJ47-(D47*AO47*8.346))/AJ47)*100)))</f>
        <v>93.89157881603647</v>
      </c>
      <c r="CK37" s="3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5">
        <v>2405963</v>
      </c>
      <c r="D38" s="138">
        <f t="shared" si="0"/>
        <v>3.548</v>
      </c>
      <c r="E38" s="140">
        <v>4.4</v>
      </c>
      <c r="F38" s="141">
        <v>1.6</v>
      </c>
      <c r="G38" s="81" t="str">
        <f t="shared" si="1"/>
        <v>0.00</v>
      </c>
      <c r="H38" s="85">
        <v>0</v>
      </c>
      <c r="I38" s="86">
        <v>0</v>
      </c>
      <c r="K38" s="87" t="s">
        <v>208</v>
      </c>
      <c r="L38" s="85">
        <v>35</v>
      </c>
      <c r="M38" s="88">
        <v>0</v>
      </c>
      <c r="O38" s="107"/>
      <c r="Q38" s="108" t="s">
        <v>10</v>
      </c>
      <c r="R38" s="153" t="s">
        <v>10</v>
      </c>
      <c r="S38" s="109" t="s">
        <v>10</v>
      </c>
      <c r="U38" s="93">
        <v>6.7</v>
      </c>
      <c r="V38" s="94">
        <v>6.8</v>
      </c>
      <c r="W38" s="95">
        <v>6.7</v>
      </c>
      <c r="Y38" s="90">
        <v>11</v>
      </c>
      <c r="Z38" s="96">
        <v>11</v>
      </c>
      <c r="AA38" s="92">
        <v>11</v>
      </c>
      <c r="AC38" s="93">
        <v>1</v>
      </c>
      <c r="AD38" s="91">
        <v>0</v>
      </c>
      <c r="AE38" s="97">
        <v>0</v>
      </c>
      <c r="AG38" s="45">
        <f t="shared" si="2"/>
        <v>27</v>
      </c>
      <c r="AI38" s="98"/>
      <c r="AJ38" s="55">
        <f t="shared" si="3"/>
      </c>
      <c r="AK38" s="98"/>
      <c r="AL38" s="55">
        <f t="shared" si="4"/>
      </c>
      <c r="AM38" s="98"/>
      <c r="AN38" s="55">
        <f t="shared" si="5"/>
      </c>
      <c r="AO38" s="110"/>
      <c r="AQ38" s="100"/>
      <c r="AR38" s="55">
        <f t="shared" si="6"/>
      </c>
      <c r="AS38" s="98"/>
      <c r="AT38" s="55">
        <f t="shared" si="7"/>
      </c>
      <c r="AU38" s="98"/>
      <c r="AV38" s="55">
        <f t="shared" si="8"/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72" t="s">
        <v>150</v>
      </c>
      <c r="BR38" s="272" t="s">
        <v>150</v>
      </c>
      <c r="BS38" s="272" t="s">
        <v>150</v>
      </c>
      <c r="BT38" s="26"/>
      <c r="BU38" s="68">
        <f>(AN49)</f>
        <v>91.42886138178902</v>
      </c>
      <c r="BV38" s="272" t="s">
        <v>150</v>
      </c>
      <c r="BW38" s="272" t="s">
        <v>150</v>
      </c>
      <c r="BX38" s="26" t="s">
        <v>129</v>
      </c>
      <c r="BY38" s="26"/>
      <c r="BZ38" s="26">
        <v>0</v>
      </c>
      <c r="CA38" s="267" t="s">
        <v>49</v>
      </c>
      <c r="CB38" s="26" t="s">
        <v>26</v>
      </c>
      <c r="CC38" s="137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5">
        <v>2409347</v>
      </c>
      <c r="D39" s="138">
        <f t="shared" si="0"/>
        <v>3.384</v>
      </c>
      <c r="E39" s="140">
        <v>4.2</v>
      </c>
      <c r="F39" s="141">
        <v>1.6</v>
      </c>
      <c r="G39" s="81" t="str">
        <f t="shared" si="1"/>
        <v>0.00</v>
      </c>
      <c r="H39" s="85">
        <v>0</v>
      </c>
      <c r="I39" s="86">
        <v>0</v>
      </c>
      <c r="K39" s="87" t="s">
        <v>210</v>
      </c>
      <c r="L39" s="85">
        <v>31</v>
      </c>
      <c r="M39" s="88">
        <v>0</v>
      </c>
      <c r="O39" s="107"/>
      <c r="Q39" s="108"/>
      <c r="R39" s="153"/>
      <c r="S39" s="109"/>
      <c r="U39" s="93">
        <v>6.7</v>
      </c>
      <c r="V39" s="94">
        <v>6.8</v>
      </c>
      <c r="W39" s="95">
        <v>6.8</v>
      </c>
      <c r="Y39" s="90">
        <v>11</v>
      </c>
      <c r="Z39" s="96">
        <v>11</v>
      </c>
      <c r="AA39" s="92">
        <v>11</v>
      </c>
      <c r="AC39" s="93">
        <v>1</v>
      </c>
      <c r="AD39" s="91">
        <v>0.01</v>
      </c>
      <c r="AE39" s="97">
        <v>0</v>
      </c>
      <c r="AG39" s="45">
        <f t="shared" si="2"/>
        <v>28</v>
      </c>
      <c r="AI39" s="98"/>
      <c r="AJ39" s="55">
        <f t="shared" si="3"/>
      </c>
      <c r="AK39" s="98"/>
      <c r="AL39" s="55">
        <f t="shared" si="4"/>
      </c>
      <c r="AM39" s="98"/>
      <c r="AN39" s="55">
        <f t="shared" si="5"/>
      </c>
      <c r="AO39" s="110"/>
      <c r="AQ39" s="100"/>
      <c r="AR39" s="55">
        <f t="shared" si="6"/>
      </c>
      <c r="AS39" s="98"/>
      <c r="AT39" s="55">
        <f t="shared" si="7"/>
      </c>
      <c r="AU39" s="98"/>
      <c r="AV39" s="55">
        <f t="shared" si="8"/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70" t="s">
        <v>150</v>
      </c>
      <c r="BR39" s="270" t="s">
        <v>150</v>
      </c>
      <c r="BS39" s="270" t="s">
        <v>150</v>
      </c>
      <c r="BT39" s="26"/>
      <c r="BU39" s="273">
        <v>85</v>
      </c>
      <c r="BV39" s="270" t="s">
        <v>150</v>
      </c>
      <c r="BW39" s="270" t="s">
        <v>150</v>
      </c>
      <c r="BX39" s="155" t="s">
        <v>129</v>
      </c>
      <c r="BY39" s="26"/>
      <c r="BZ39" s="270" t="s">
        <v>150</v>
      </c>
      <c r="CA39" s="271" t="s">
        <v>49</v>
      </c>
      <c r="CB39" s="155" t="s">
        <v>26</v>
      </c>
      <c r="CC39" s="137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5">
        <v>2412576</v>
      </c>
      <c r="D40" s="138">
        <f t="shared" si="0"/>
        <v>3.229</v>
      </c>
      <c r="E40" s="140">
        <v>4.4</v>
      </c>
      <c r="F40" s="141">
        <v>1.2</v>
      </c>
      <c r="G40" s="81" t="str">
        <f t="shared" si="1"/>
        <v>0.00</v>
      </c>
      <c r="H40" s="85">
        <v>6850</v>
      </c>
      <c r="I40" s="86">
        <v>1000</v>
      </c>
      <c r="K40" s="87" t="s">
        <v>208</v>
      </c>
      <c r="L40" s="85">
        <v>33</v>
      </c>
      <c r="M40" s="88">
        <v>0</v>
      </c>
      <c r="O40" s="107"/>
      <c r="Q40" s="108" t="s">
        <v>15</v>
      </c>
      <c r="R40" s="153" t="s">
        <v>15</v>
      </c>
      <c r="S40" s="109" t="s">
        <v>15</v>
      </c>
      <c r="U40" s="93">
        <v>6.9</v>
      </c>
      <c r="V40" s="94">
        <v>6.9</v>
      </c>
      <c r="W40" s="95">
        <v>6.7</v>
      </c>
      <c r="Y40" s="90">
        <v>12</v>
      </c>
      <c r="Z40" s="96">
        <v>11</v>
      </c>
      <c r="AA40" s="92">
        <v>11</v>
      </c>
      <c r="AC40" s="93">
        <v>4.5</v>
      </c>
      <c r="AD40" s="91">
        <v>0.01</v>
      </c>
      <c r="AE40" s="97">
        <v>0</v>
      </c>
      <c r="AG40" s="45">
        <f t="shared" si="2"/>
        <v>29</v>
      </c>
      <c r="AI40" s="98"/>
      <c r="AJ40" s="55">
        <f t="shared" si="3"/>
      </c>
      <c r="AK40" s="98"/>
      <c r="AL40" s="55">
        <f t="shared" si="4"/>
      </c>
      <c r="AM40" s="98"/>
      <c r="AN40" s="55">
        <f t="shared" si="5"/>
      </c>
      <c r="AO40" s="110"/>
      <c r="AQ40" s="100"/>
      <c r="AR40" s="55">
        <f t="shared" si="6"/>
      </c>
      <c r="AS40" s="98"/>
      <c r="AT40" s="55">
        <f t="shared" si="7"/>
      </c>
      <c r="AU40" s="98"/>
      <c r="AV40" s="55">
        <f t="shared" si="8"/>
      </c>
      <c r="AX40" s="100">
        <v>89633</v>
      </c>
      <c r="AY40" s="101">
        <v>2</v>
      </c>
      <c r="AZ40" s="102">
        <v>6</v>
      </c>
      <c r="BA40" s="98">
        <v>58.9</v>
      </c>
      <c r="BB40" s="102">
        <v>29</v>
      </c>
      <c r="BC40" s="98">
        <v>24</v>
      </c>
      <c r="BD40" s="98"/>
      <c r="BE40" s="103"/>
      <c r="BG40" s="100">
        <v>24</v>
      </c>
      <c r="BH40" s="84" t="s">
        <v>229</v>
      </c>
      <c r="BI40" s="104" t="s">
        <v>230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5">
        <v>2415820</v>
      </c>
      <c r="D41" s="138">
        <f t="shared" si="0"/>
        <v>3.244</v>
      </c>
      <c r="E41" s="140">
        <v>4.4</v>
      </c>
      <c r="F41" s="141">
        <v>1</v>
      </c>
      <c r="G41" s="81" t="str">
        <f t="shared" si="1"/>
        <v>0.00</v>
      </c>
      <c r="H41" s="85">
        <v>500</v>
      </c>
      <c r="I41" s="86">
        <v>5500</v>
      </c>
      <c r="K41" s="87" t="s">
        <v>210</v>
      </c>
      <c r="L41" s="85">
        <v>39</v>
      </c>
      <c r="M41" s="88">
        <v>0.01</v>
      </c>
      <c r="O41" s="107"/>
      <c r="Q41" s="108"/>
      <c r="R41" s="153"/>
      <c r="S41" s="109"/>
      <c r="U41" s="93">
        <v>7</v>
      </c>
      <c r="V41" s="94">
        <v>7</v>
      </c>
      <c r="W41" s="95">
        <v>6.8</v>
      </c>
      <c r="Y41" s="90">
        <v>12</v>
      </c>
      <c r="Z41" s="96">
        <v>11</v>
      </c>
      <c r="AA41" s="92">
        <v>11</v>
      </c>
      <c r="AC41" s="93">
        <v>2.5</v>
      </c>
      <c r="AD41" s="91">
        <v>0.1</v>
      </c>
      <c r="AE41" s="97">
        <v>0.01</v>
      </c>
      <c r="AG41" s="45">
        <f t="shared" si="2"/>
        <v>30</v>
      </c>
      <c r="AI41" s="98">
        <v>175</v>
      </c>
      <c r="AJ41" s="55">
        <f t="shared" si="3"/>
        <v>4734.618</v>
      </c>
      <c r="AK41" s="98"/>
      <c r="AL41" s="55">
        <f t="shared" si="4"/>
      </c>
      <c r="AM41" s="98">
        <v>19</v>
      </c>
      <c r="AN41" s="55">
        <f t="shared" si="5"/>
        <v>514.0442400000001</v>
      </c>
      <c r="AO41" s="110">
        <v>15</v>
      </c>
      <c r="AQ41" s="100">
        <v>132</v>
      </c>
      <c r="AR41" s="55">
        <f t="shared" si="6"/>
        <v>3571.2547200000004</v>
      </c>
      <c r="AS41" s="98"/>
      <c r="AT41" s="55">
        <f t="shared" si="7"/>
      </c>
      <c r="AU41" s="98">
        <v>15</v>
      </c>
      <c r="AV41" s="55">
        <f t="shared" si="8"/>
        <v>405.8244</v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3">
        <v>2418994</v>
      </c>
      <c r="D42" s="139">
        <f t="shared" si="0"/>
        <v>3.174</v>
      </c>
      <c r="E42" s="142">
        <v>4.6</v>
      </c>
      <c r="F42" s="143">
        <v>1.4</v>
      </c>
      <c r="G42" s="184" t="str">
        <f t="shared" si="1"/>
        <v>0.00</v>
      </c>
      <c r="H42" s="113">
        <v>2150</v>
      </c>
      <c r="I42" s="114">
        <v>3000</v>
      </c>
      <c r="K42" s="115" t="s">
        <v>210</v>
      </c>
      <c r="L42" s="113">
        <v>39</v>
      </c>
      <c r="M42" s="116">
        <v>0</v>
      </c>
      <c r="O42" s="117"/>
      <c r="Q42" s="133"/>
      <c r="R42" s="112"/>
      <c r="S42" s="114"/>
      <c r="U42" s="134">
        <v>7</v>
      </c>
      <c r="V42" s="135">
        <v>7</v>
      </c>
      <c r="W42" s="136">
        <v>6.74</v>
      </c>
      <c r="Y42" s="133">
        <v>12</v>
      </c>
      <c r="Z42" s="113">
        <v>11</v>
      </c>
      <c r="AA42" s="114">
        <v>12</v>
      </c>
      <c r="AC42" s="134">
        <v>3.5</v>
      </c>
      <c r="AD42" s="112">
        <v>0.1</v>
      </c>
      <c r="AE42" s="116">
        <v>0</v>
      </c>
      <c r="AG42" s="45">
        <f t="shared" si="2"/>
        <v>31</v>
      </c>
      <c r="AI42" s="126">
        <v>401</v>
      </c>
      <c r="AJ42" s="65">
        <f t="shared" si="3"/>
        <v>10614.935159999999</v>
      </c>
      <c r="AK42" s="126">
        <v>200</v>
      </c>
      <c r="AL42" s="65">
        <f t="shared" si="4"/>
        <v>5294.232</v>
      </c>
      <c r="AM42" s="126">
        <v>27</v>
      </c>
      <c r="AN42" s="65">
        <f t="shared" si="5"/>
        <v>714.7213199999999</v>
      </c>
      <c r="AO42" s="127">
        <v>20</v>
      </c>
      <c r="AQ42" s="128">
        <v>268</v>
      </c>
      <c r="AR42" s="65">
        <f t="shared" si="6"/>
        <v>7094.270879999999</v>
      </c>
      <c r="AS42" s="126">
        <v>80</v>
      </c>
      <c r="AT42" s="65">
        <f t="shared" si="7"/>
        <v>2117.6928</v>
      </c>
      <c r="AU42" s="126">
        <v>21</v>
      </c>
      <c r="AV42" s="65">
        <f t="shared" si="8"/>
        <v>555.89436</v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2" t="s">
        <v>150</v>
      </c>
      <c r="BR43" s="272" t="s">
        <v>150</v>
      </c>
      <c r="BS43" s="272" t="s">
        <v>150</v>
      </c>
      <c r="BT43" s="26"/>
      <c r="BU43" s="68">
        <f>(AU49)</f>
        <v>88.03418803418805</v>
      </c>
      <c r="BV43" s="272" t="s">
        <v>150</v>
      </c>
      <c r="BW43" s="272" t="s">
        <v>150</v>
      </c>
      <c r="BX43" s="26" t="s">
        <v>129</v>
      </c>
      <c r="BY43" s="26"/>
      <c r="BZ43" s="26">
        <v>0</v>
      </c>
      <c r="CA43" s="267" t="s">
        <v>49</v>
      </c>
      <c r="CB43" s="26" t="s">
        <v>26</v>
      </c>
      <c r="CC43" s="137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9">
        <f>(IF(((SUM(C12:C42))=0)," ",((MAX(C12:C42))-C11)))</f>
        <v>98175</v>
      </c>
      <c r="D44" s="228">
        <f>(IF(((SUM(D12:D42))=0)," ",(SUM(D12:D42))))</f>
        <v>98.175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65950</v>
      </c>
      <c r="I44" s="196">
        <f>(IF(((SUM(I12:I42))=0)," ",(SUM(I12:I42))))</f>
        <v>82500</v>
      </c>
      <c r="K44" s="200" t="s">
        <v>150</v>
      </c>
      <c r="L44" s="201" t="s">
        <v>150</v>
      </c>
      <c r="M44" s="202">
        <f>(IF(((SUM(M12:M42))=0)," ",(SUM(M11:M42))))</f>
        <v>4.18</v>
      </c>
      <c r="O44" s="203" t="str">
        <f>(IF(((SUM(O12:O42))=0),"0.0",(SUM(O11:O42))))</f>
        <v>0.0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470624</v>
      </c>
      <c r="AY44" s="201" t="s">
        <v>150</v>
      </c>
      <c r="AZ44" s="212">
        <f>(IF(((SUM(AZ12:AZ42))=0)," ",(SUM(AZ12:AZ42))))</f>
        <v>31.25</v>
      </c>
      <c r="BA44" s="199">
        <f>(IF(((SUM(BA12:BA42))=0)," ",(SUM(BA12:BA42))))</f>
        <v>309.99999999999994</v>
      </c>
      <c r="BB44" s="207" t="s">
        <v>150</v>
      </c>
      <c r="BC44" s="199">
        <f>(IF(((SUM(BC12:BC42))=0)," ",(SUM(BC12:BC42))))</f>
        <v>156</v>
      </c>
      <c r="BD44" s="189" t="str">
        <f>(IF(((SUM(BD12:BD42))=0)," ",(SUM(BD12:BD42))))</f>
        <v> </v>
      </c>
      <c r="BE44" s="210" t="s">
        <v>150</v>
      </c>
      <c r="BG44" s="199">
        <f>(IF(((SUM(BG12:BG42))=0)," ",(SUM(BG12:BG42))))</f>
        <v>156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70" t="s">
        <v>150</v>
      </c>
      <c r="BR44" s="270" t="s">
        <v>150</v>
      </c>
      <c r="BS44" s="270" t="s">
        <v>150</v>
      </c>
      <c r="BT44" s="26"/>
      <c r="BU44" s="273">
        <v>85</v>
      </c>
      <c r="BV44" s="270" t="s">
        <v>150</v>
      </c>
      <c r="BW44" s="270" t="s">
        <v>150</v>
      </c>
      <c r="BX44" s="155" t="s">
        <v>129</v>
      </c>
      <c r="BY44" s="26"/>
      <c r="BZ44" s="270" t="s">
        <v>150</v>
      </c>
      <c r="CA44" s="271" t="s">
        <v>49</v>
      </c>
      <c r="CB44" s="155" t="s">
        <v>26</v>
      </c>
      <c r="CC44" s="137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4.221</v>
      </c>
      <c r="E45" s="216">
        <f>(IF((SUM(E12:E42))=0," ",(MAX(E12:E42))))</f>
        <v>6.2</v>
      </c>
      <c r="F45" s="217">
        <f>(IF((SUM(F12:F42))=0," ",(MAX(F12:F42))))</f>
        <v>2.2</v>
      </c>
      <c r="G45" s="216">
        <f>(MAX(G12:G42))</f>
        <v>0</v>
      </c>
      <c r="H45" s="162">
        <f>(IF((SUM(H12:H42))=0," ",(MAX(H12:H42))))</f>
        <v>6850</v>
      </c>
      <c r="I45" s="163">
        <f>(IF((SUM(I12:I42))=0," ",(MAX(I12:I42))))</f>
        <v>8500</v>
      </c>
      <c r="K45" s="180" t="s">
        <v>150</v>
      </c>
      <c r="L45" s="183">
        <f>(IF((SUM(L12:L42))=0," ",(MAX(L12:L42))))</f>
        <v>44</v>
      </c>
      <c r="M45" s="219">
        <f>(IF((SUM(M12:M42))=0," ",(MAX(M12:M42))))</f>
        <v>1.37</v>
      </c>
      <c r="O45" s="220" t="s">
        <v>150</v>
      </c>
      <c r="Q45" s="221" t="s">
        <v>150</v>
      </c>
      <c r="R45" s="184" t="str">
        <f>(IF(((SUM(R12:R42))=0),"-",(MAX(R12:R42))))</f>
        <v>-</v>
      </c>
      <c r="S45" s="163" t="str">
        <f>(IF(((SUM(S12:S42))=0),"-",(MAX(S12:S42))))</f>
        <v>-</v>
      </c>
      <c r="U45" s="222">
        <f>(IF((SUM(U12:U42))=0," ",(MAX(U12:U42))))</f>
        <v>7.7</v>
      </c>
      <c r="V45" s="183">
        <f>(IF((SUM(V12:V42))=0," ",(MAX(V12:V42))))</f>
        <v>7.5</v>
      </c>
      <c r="W45" s="223">
        <f>(IF((SUM(W12:W42))=0," ",(MAX(W12:W42))))</f>
        <v>7</v>
      </c>
      <c r="Y45" s="218">
        <f>(IF((SUM(Y12:Y42))=0," ",(MAX(Y12:Y42))))</f>
        <v>14</v>
      </c>
      <c r="Z45" s="162">
        <f>(IF((SUM(Z12:Z42))=0," ",(MAX(Z12:Z42))))</f>
        <v>14</v>
      </c>
      <c r="AA45" s="163">
        <f>(IF((SUM(AA12:AA42))=0," ",(MAX(AA12:AA42))))</f>
        <v>14</v>
      </c>
      <c r="AC45" s="222">
        <f>(IF((SUM(AC12:AC42))=0," ",(MAX(AC12:AC42))))</f>
        <v>10</v>
      </c>
      <c r="AD45" s="184">
        <f>(IF((SUM(AD12:AD42))=0," ",(MAX(AD12:AD42))))</f>
        <v>0.1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401</v>
      </c>
      <c r="AJ45" s="162">
        <f t="shared" si="9"/>
        <v>10614.935159999999</v>
      </c>
      <c r="AK45" s="218">
        <f t="shared" si="9"/>
        <v>200</v>
      </c>
      <c r="AL45" s="163">
        <f t="shared" si="9"/>
        <v>5294.232</v>
      </c>
      <c r="AM45" s="218">
        <f t="shared" si="9"/>
        <v>27</v>
      </c>
      <c r="AN45" s="163">
        <f t="shared" si="9"/>
        <v>714.7213199999999</v>
      </c>
      <c r="AO45" s="224">
        <f t="shared" si="9"/>
        <v>20</v>
      </c>
      <c r="AQ45" s="218">
        <f aca="true" t="shared" si="10" ref="AQ45:AV45">(IF((SUM(AQ12:AQ42))=0," ",(MAX(AQ12:AQ42))))</f>
        <v>268</v>
      </c>
      <c r="AR45" s="163">
        <f t="shared" si="10"/>
        <v>7094.270879999999</v>
      </c>
      <c r="AS45" s="218">
        <f t="shared" si="10"/>
        <v>99</v>
      </c>
      <c r="AT45" s="163">
        <f t="shared" si="10"/>
        <v>2877.4251</v>
      </c>
      <c r="AU45" s="218">
        <f t="shared" si="10"/>
        <v>28</v>
      </c>
      <c r="AV45" s="163">
        <f t="shared" si="10"/>
        <v>880.0785000000001</v>
      </c>
      <c r="AX45" s="221" t="s">
        <v>150</v>
      </c>
      <c r="AY45" s="183">
        <f>(IF((SUM(AY12:AY42))=0," ",(MAX(AY12:AY42))))</f>
        <v>5</v>
      </c>
      <c r="AZ45" s="225" t="s">
        <v>150</v>
      </c>
      <c r="BA45" s="221" t="s">
        <v>150</v>
      </c>
      <c r="BB45" s="223">
        <f>(IF((SUM(BB12:BB42))=0," ",(MAX(BB12:BB42))))</f>
        <v>31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1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2.538</v>
      </c>
      <c r="E46" s="227">
        <f>(IF((SUM(E12:E42))=0," ",(MIN(E12:E42))))</f>
        <v>3.8</v>
      </c>
      <c r="F46" s="228">
        <f>(IF((SUM(F12:F42))=0," ",(MIN(F12:F42))))</f>
        <v>0.6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15</v>
      </c>
      <c r="M46" s="202">
        <f>(IF((SUM(M12:M42))=0," ",(MIN(M12:M42))))</f>
        <v>0</v>
      </c>
      <c r="O46" s="229" t="s">
        <v>150</v>
      </c>
      <c r="Q46" s="208" t="s">
        <v>150</v>
      </c>
      <c r="R46" s="191" t="str">
        <f>(IF(((SUM(R12:R42))=0),"-",(MIN(R12:R42))))</f>
        <v>-</v>
      </c>
      <c r="S46" s="196" t="str">
        <f>(IF(((SUM(S12:S42))=0),"-",(MIN(S12:S42))))</f>
        <v>-</v>
      </c>
      <c r="U46" s="230">
        <f>(IF((SUM(U12:U42))=0," ",(MIN(U12:U42))))</f>
        <v>6.7</v>
      </c>
      <c r="V46" s="192">
        <f>(IF((SUM(V12:V42))=0," ",(MIN(V12:V42))))</f>
        <v>6.8</v>
      </c>
      <c r="W46" s="212">
        <f>(IF((SUM(W12:W42))=0," ",(MIN(W12:W42))))</f>
        <v>6.6</v>
      </c>
      <c r="Y46" s="199">
        <f aca="true" t="shared" si="11" ref="Y46:AD46">(IF((SUM(Y12:Y42))=0," ",(MIN(Y12:Y42))))</f>
        <v>11</v>
      </c>
      <c r="Z46" s="189">
        <f t="shared" si="11"/>
        <v>9</v>
      </c>
      <c r="AA46" s="196">
        <f t="shared" si="11"/>
        <v>8</v>
      </c>
      <c r="AB46" s="265" t="str">
        <f t="shared" si="11"/>
        <v> </v>
      </c>
      <c r="AC46" s="230">
        <f t="shared" si="11"/>
        <v>1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128</v>
      </c>
      <c r="AJ46" s="189">
        <f t="shared" si="12"/>
        <v>3976.3785599999997</v>
      </c>
      <c r="AK46" s="199">
        <f t="shared" si="12"/>
        <v>92</v>
      </c>
      <c r="AL46" s="196">
        <f t="shared" si="12"/>
        <v>3181.0678199999998</v>
      </c>
      <c r="AM46" s="199">
        <f t="shared" si="12"/>
        <v>14</v>
      </c>
      <c r="AN46" s="196">
        <f t="shared" si="12"/>
        <v>336.61908</v>
      </c>
      <c r="AO46" s="231">
        <f t="shared" si="12"/>
        <v>10</v>
      </c>
      <c r="AQ46" s="199">
        <f aca="true" t="shared" si="13" ref="AQ46:AV46">(IF((SUM(AQ12:AQ42))=0," ",(MIN(AQ12:AQ42))))</f>
        <v>88</v>
      </c>
      <c r="AR46" s="196">
        <f t="shared" si="13"/>
        <v>2275.8859199999997</v>
      </c>
      <c r="AS46" s="199">
        <f t="shared" si="13"/>
        <v>62</v>
      </c>
      <c r="AT46" s="196">
        <f t="shared" si="13"/>
        <v>1603.46508</v>
      </c>
      <c r="AU46" s="199">
        <f t="shared" si="13"/>
        <v>14</v>
      </c>
      <c r="AV46" s="196">
        <f t="shared" si="13"/>
        <v>362.07276</v>
      </c>
      <c r="AX46" s="208" t="s">
        <v>150</v>
      </c>
      <c r="AY46" s="192">
        <f>(IF((SUM(AY12:AY42))=0," ",(MIN(AY12:AY42))))</f>
        <v>1</v>
      </c>
      <c r="AZ46" s="207" t="s">
        <v>150</v>
      </c>
      <c r="BA46" s="208" t="s">
        <v>150</v>
      </c>
      <c r="BB46" s="212">
        <f>(IF((SUM(BB12:BB42))=0," ",(MIN(BB12:BB42))))</f>
        <v>28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08" t="s">
        <v>150</v>
      </c>
      <c r="BH46" s="214" t="s">
        <v>150</v>
      </c>
      <c r="BI46" s="215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3.166935483870968</v>
      </c>
      <c r="E47" s="216">
        <f>(IF((SUM(E12:E42))=0," ",(AVERAGE(E12:E42))))</f>
        <v>4.441935483870967</v>
      </c>
      <c r="F47" s="217">
        <f>(IF((SUM(F12:F42))=0," ",(AVERAGE(F12:F42))))</f>
        <v>1.196774193548387</v>
      </c>
      <c r="G47" s="216" t="str">
        <f>(IF((SUM(G12:G42))=0,"0.000",(AVERAGE(G12:G42))))</f>
        <v>0.000</v>
      </c>
      <c r="H47" s="162">
        <f>(IF((SUM(H12:H42))=0," ",(AVERAGE(H12:H42))))</f>
        <v>2127.4193548387098</v>
      </c>
      <c r="I47" s="163">
        <f>(IF((SUM(I12:I42))=0," ",(AVERAGE(I12:I42))))</f>
        <v>2661.2903225806454</v>
      </c>
      <c r="K47" s="180" t="s">
        <v>150</v>
      </c>
      <c r="L47" s="183">
        <f>(IF((SUM(L12:L42))=0," ",(AVERAGE(L12:L42))))</f>
        <v>29.838709677419356</v>
      </c>
      <c r="M47" s="219">
        <f>(IF((SUM(M12:M42))=0," ",(AVERAGE(M12:M42))))</f>
        <v>0.13483870967741934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7.006451612903225</v>
      </c>
      <c r="V47" s="183">
        <f>(IF((SUM(V12:V42))=0," ",(AVERAGE(V12:V42))))</f>
        <v>7.000000000000002</v>
      </c>
      <c r="W47" s="223">
        <f>(IF((SUM(W12:W42))=0," ",(AVERAGE(W12:W42))))</f>
        <v>6.775483870967744</v>
      </c>
      <c r="Y47" s="218">
        <f>(IF((SUM(Y12:Y42))=0," ",(AVERAGE(Y12:Y42))))</f>
        <v>12.658064516129032</v>
      </c>
      <c r="Z47" s="162">
        <f>(IF((SUM(Z12:Z42))=0," ",(AVERAGE(Z12:Z42))))</f>
        <v>11.709677419354838</v>
      </c>
      <c r="AA47" s="163">
        <f>(IF((SUM(AA12:AA42))=0," ",(AVERAGE(AA12:AA42))))</f>
        <v>11.516129032258064</v>
      </c>
      <c r="AC47" s="222">
        <f>(IF((SUM(AC12:AC42))=0," ",(AVERAGE(AC12:AC42))))</f>
        <v>4.064516129032258</v>
      </c>
      <c r="AD47" s="184">
        <f>(IF((SUM(AD12:AD42))=0," ",(AVERAGE(AD12:AD42))))</f>
        <v>0.03096774193548387</v>
      </c>
      <c r="AE47" s="219">
        <f>(IF((COUNT(AE12:AE42))=0," ",(AVERAGE(AE12:AE42))))</f>
        <v>0.0016129032258064516</v>
      </c>
      <c r="AG47" s="26" t="str">
        <f>($A47)</f>
        <v>Average</v>
      </c>
      <c r="AI47" s="162">
        <f aca="true" t="shared" si="14" ref="AI47:AO47">(IF((SUM(AI12:AI42))=0," ",(AVERAGE(AI12:AI42))))</f>
        <v>211.28571428571428</v>
      </c>
      <c r="AJ47" s="162">
        <f t="shared" si="14"/>
        <v>5516.946934285714</v>
      </c>
      <c r="AK47" s="218">
        <f t="shared" si="14"/>
        <v>139.4</v>
      </c>
      <c r="AL47" s="163">
        <f t="shared" si="14"/>
        <v>3816.715932</v>
      </c>
      <c r="AM47" s="218">
        <f t="shared" si="14"/>
        <v>17.53846153846154</v>
      </c>
      <c r="AN47" s="163">
        <f t="shared" si="14"/>
        <v>472.86516923076914</v>
      </c>
      <c r="AO47" s="224">
        <f t="shared" si="14"/>
        <v>12.75</v>
      </c>
      <c r="AQ47" s="218">
        <f aca="true" t="shared" si="15" ref="AQ47:AV47">(IF((SUM(AQ12:AQ42))=0," ",(AVERAGE(AQ12:AQ42))))</f>
        <v>171</v>
      </c>
      <c r="AR47" s="163">
        <f t="shared" si="15"/>
        <v>4481.650311428571</v>
      </c>
      <c r="AS47" s="218">
        <f t="shared" si="15"/>
        <v>76.2</v>
      </c>
      <c r="AT47" s="163">
        <f t="shared" si="15"/>
        <v>2120.91204</v>
      </c>
      <c r="AU47" s="218">
        <f t="shared" si="15"/>
        <v>20.46153846153846</v>
      </c>
      <c r="AV47" s="163">
        <f t="shared" si="15"/>
        <v>549.515543076923</v>
      </c>
      <c r="AX47" s="218">
        <f aca="true" t="shared" si="16" ref="AX47:BE47">(IF((SUM(AX12:AX42))=0," ",(AVERAGE(AX12:AX42))))</f>
        <v>52291.555555555555</v>
      </c>
      <c r="AY47" s="183">
        <f t="shared" si="16"/>
        <v>2.6666666666666665</v>
      </c>
      <c r="AZ47" s="223">
        <f t="shared" si="16"/>
        <v>3.4722222222222223</v>
      </c>
      <c r="BA47" s="218">
        <f t="shared" si="16"/>
        <v>34.444444444444436</v>
      </c>
      <c r="BB47" s="223">
        <f t="shared" si="16"/>
        <v>28.88888888888889</v>
      </c>
      <c r="BC47" s="218">
        <f t="shared" si="16"/>
        <v>17.333333333333332</v>
      </c>
      <c r="BD47" s="162" t="str">
        <f t="shared" si="16"/>
        <v> </v>
      </c>
      <c r="BE47" s="219" t="str">
        <f t="shared" si="16"/>
        <v> </v>
      </c>
      <c r="BG47" s="218">
        <f>(IF((SUM(BG12:BG42))=0," ",(AVERAGE(BG12:BG42))))</f>
        <v>17.333333333333332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7" t="s">
        <v>203</v>
      </c>
      <c r="BR48" s="272" t="s">
        <v>150</v>
      </c>
      <c r="BS48" s="277" t="s">
        <v>203</v>
      </c>
      <c r="BT48" s="26"/>
      <c r="BU48" s="272" t="s">
        <v>150</v>
      </c>
      <c r="BV48" s="58" t="str">
        <f>(S49)</f>
        <v>-</v>
      </c>
      <c r="BW48" s="58" t="str">
        <f>(S45)</f>
        <v>-</v>
      </c>
      <c r="BX48" s="272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91.42886138178902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88.03418803418805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78" t="s">
        <v>203</v>
      </c>
      <c r="BR49" s="270" t="s">
        <v>150</v>
      </c>
      <c r="BS49" s="278" t="s">
        <v>203</v>
      </c>
      <c r="BT49" s="26"/>
      <c r="BU49" s="270" t="s">
        <v>150</v>
      </c>
      <c r="BV49" s="269">
        <v>142</v>
      </c>
      <c r="BW49" s="269">
        <v>949</v>
      </c>
      <c r="BX49" s="279" t="s">
        <v>204</v>
      </c>
      <c r="BY49" s="26"/>
      <c r="BZ49" s="270" t="s">
        <v>150</v>
      </c>
      <c r="CA49" s="276" t="s">
        <v>205</v>
      </c>
      <c r="CB49" s="155" t="s">
        <v>23</v>
      </c>
      <c r="CC49" s="27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O52" s="11"/>
      <c r="Q52" s="11"/>
      <c r="R52" s="11"/>
      <c r="S52" s="11"/>
      <c r="U52" s="11"/>
      <c r="V52" s="11"/>
      <c r="W52" s="11"/>
      <c r="Y52" s="11"/>
      <c r="Z52" s="11"/>
      <c r="AA52" s="11"/>
      <c r="AC52" s="11"/>
      <c r="AD52" s="11"/>
      <c r="AE52" s="11"/>
      <c r="AG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X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K52" s="11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11"/>
    </row>
    <row r="53" spans="1:94" ht="18" customHeight="1">
      <c r="A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O53" s="11"/>
      <c r="Q53" s="11"/>
      <c r="R53" s="11"/>
      <c r="S53" s="11"/>
      <c r="U53" s="11"/>
      <c r="V53" s="11"/>
      <c r="W53" s="11"/>
      <c r="Y53" s="11"/>
      <c r="Z53" s="11"/>
      <c r="AA53" s="11"/>
      <c r="AC53" s="11"/>
      <c r="AD53" s="11"/>
      <c r="AE53" s="11"/>
      <c r="AG53" s="11"/>
      <c r="AI53" s="11"/>
      <c r="AJ53" s="11"/>
      <c r="AK53" s="11"/>
      <c r="AL53" s="11"/>
      <c r="AM53" s="11"/>
      <c r="AN53" s="11"/>
      <c r="AO53" s="11"/>
      <c r="AQ53" s="11"/>
      <c r="AR53" s="11"/>
      <c r="AS53" s="11"/>
      <c r="AT53" s="11"/>
      <c r="AU53" s="11"/>
      <c r="AV53" s="11"/>
      <c r="AX53" s="11"/>
      <c r="AY53" s="11"/>
      <c r="AZ53" s="11"/>
      <c r="BA53" s="11"/>
      <c r="BB53" s="11"/>
      <c r="BC53" s="11"/>
      <c r="BD53" s="11"/>
      <c r="BE53" s="11"/>
      <c r="BG53" s="11"/>
      <c r="BH53" s="11"/>
      <c r="BI53" s="11"/>
      <c r="BK53" s="11"/>
      <c r="BL53" s="19"/>
      <c r="BM53" s="20" t="s">
        <v>206</v>
      </c>
      <c r="BN53" s="20"/>
      <c r="BO53" s="57" t="s">
        <v>130</v>
      </c>
      <c r="BP53" s="20"/>
      <c r="BQ53" s="277" t="s">
        <v>203</v>
      </c>
      <c r="BR53" s="272" t="s">
        <v>150</v>
      </c>
      <c r="BS53" s="277" t="s">
        <v>203</v>
      </c>
      <c r="BT53" s="26"/>
      <c r="BU53" s="272" t="s">
        <v>150</v>
      </c>
      <c r="BV53" s="272" t="s">
        <v>150</v>
      </c>
      <c r="BW53" s="71" t="str">
        <f>(R45)</f>
        <v>-</v>
      </c>
      <c r="BX53" s="272" t="s">
        <v>150</v>
      </c>
      <c r="BY53" s="26"/>
      <c r="BZ53" s="26">
        <v>0</v>
      </c>
      <c r="CA53" s="75" t="s">
        <v>207</v>
      </c>
      <c r="CB53" s="26" t="s">
        <v>23</v>
      </c>
      <c r="CC53" s="27"/>
      <c r="CP53" s="11"/>
    </row>
    <row r="54" spans="1:94" ht="18" customHeight="1">
      <c r="A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O54" s="11"/>
      <c r="Q54" s="11"/>
      <c r="R54" s="11"/>
      <c r="S54" s="11"/>
      <c r="U54" s="11"/>
      <c r="V54" s="11"/>
      <c r="W54" s="11"/>
      <c r="Y54" s="11"/>
      <c r="Z54" s="11"/>
      <c r="AA54" s="11"/>
      <c r="AC54" s="11"/>
      <c r="AD54" s="11"/>
      <c r="AE54" s="11"/>
      <c r="AG54" s="11"/>
      <c r="AI54" s="11"/>
      <c r="AJ54" s="11"/>
      <c r="AK54" s="11"/>
      <c r="AL54" s="11"/>
      <c r="AM54" s="11"/>
      <c r="AN54" s="11"/>
      <c r="AO54" s="11"/>
      <c r="AQ54" s="11"/>
      <c r="AR54" s="11"/>
      <c r="AS54" s="11"/>
      <c r="AT54" s="11"/>
      <c r="AU54" s="11"/>
      <c r="AV54" s="11"/>
      <c r="AX54" s="11"/>
      <c r="AY54" s="11"/>
      <c r="AZ54" s="11"/>
      <c r="BA54" s="11"/>
      <c r="BB54" s="11"/>
      <c r="BC54" s="11"/>
      <c r="BD54" s="11"/>
      <c r="BE54" s="11"/>
      <c r="BG54" s="11"/>
      <c r="BH54" s="11"/>
      <c r="BI54" s="11"/>
      <c r="BK54" s="11"/>
      <c r="BL54" s="19"/>
      <c r="BM54" s="26" t="s">
        <v>86</v>
      </c>
      <c r="BN54" s="20"/>
      <c r="BO54" s="154" t="s">
        <v>131</v>
      </c>
      <c r="BP54" s="20"/>
      <c r="BQ54" s="278" t="s">
        <v>203</v>
      </c>
      <c r="BR54" s="270" t="s">
        <v>150</v>
      </c>
      <c r="BS54" s="278" t="s">
        <v>203</v>
      </c>
      <c r="BT54" s="26"/>
      <c r="BU54" s="270" t="s">
        <v>150</v>
      </c>
      <c r="BV54" s="270" t="s">
        <v>150</v>
      </c>
      <c r="BW54" s="279">
        <v>0.86</v>
      </c>
      <c r="BX54" s="279" t="s">
        <v>44</v>
      </c>
      <c r="BY54" s="26"/>
      <c r="BZ54" s="270" t="s">
        <v>150</v>
      </c>
      <c r="CA54" s="271" t="s">
        <v>207</v>
      </c>
      <c r="CB54" s="155" t="s">
        <v>23</v>
      </c>
      <c r="CC54" s="27"/>
      <c r="CP54" s="11"/>
    </row>
    <row r="55" spans="1:94" ht="18" customHeight="1">
      <c r="A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O55" s="17"/>
      <c r="Q55" s="17"/>
      <c r="R55" s="17"/>
      <c r="S55" s="17"/>
      <c r="U55" s="17"/>
      <c r="V55" s="17"/>
      <c r="W55" s="17"/>
      <c r="Y55" s="17"/>
      <c r="Z55" s="17"/>
      <c r="AA55" s="17"/>
      <c r="AC55" s="17"/>
      <c r="AD55" s="17"/>
      <c r="AE55" s="17"/>
      <c r="AG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T55" s="11"/>
      <c r="AU55" s="11"/>
      <c r="AV55" s="11"/>
      <c r="AX55" s="11"/>
      <c r="AY55" s="11"/>
      <c r="AZ55" s="11"/>
      <c r="BA55" s="11"/>
      <c r="BB55" s="11"/>
      <c r="BC55" s="11"/>
      <c r="BD55" s="11"/>
      <c r="BE55" s="11"/>
      <c r="BG55" s="11"/>
      <c r="BH55" s="11"/>
      <c r="BI55" s="11"/>
      <c r="BK55" s="11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11"/>
    </row>
    <row r="56" spans="1:94" ht="18" customHeight="1">
      <c r="A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1"/>
      <c r="AI56" s="11"/>
      <c r="AJ56" s="11"/>
      <c r="AK56" s="11"/>
      <c r="AL56" s="11"/>
      <c r="AM56" s="11"/>
      <c r="AN56" s="11"/>
      <c r="AO56" s="11"/>
      <c r="AQ56" s="11"/>
      <c r="AR56" s="11"/>
      <c r="AS56" s="11"/>
      <c r="AT56" s="11"/>
      <c r="AU56" s="11"/>
      <c r="AV56" s="11"/>
      <c r="AX56" s="11"/>
      <c r="AY56" s="11"/>
      <c r="AZ56" s="11"/>
      <c r="BA56" s="11"/>
      <c r="BB56" s="11"/>
      <c r="BC56" s="11"/>
      <c r="BD56" s="11"/>
      <c r="BE56" s="11"/>
      <c r="BG56" s="11"/>
      <c r="BH56" s="11"/>
      <c r="BI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P56" s="11"/>
    </row>
    <row r="57" spans="1:9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/>
      <c r="O57" s="11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/>
      <c r="AC57" s="17"/>
      <c r="AD57" s="17"/>
      <c r="AE57" s="17"/>
      <c r="AF57" s="17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/>
      <c r="CE57"/>
      <c r="CF57"/>
      <c r="CG57"/>
      <c r="CH57"/>
      <c r="CI57"/>
      <c r="CJ57"/>
      <c r="CK57"/>
      <c r="CL57"/>
      <c r="CM57"/>
      <c r="CN57"/>
      <c r="CO57"/>
      <c r="CP57" s="11"/>
    </row>
    <row r="58" spans="1:9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/>
      <c r="O58" s="11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/>
      <c r="CE58"/>
      <c r="CF58"/>
      <c r="CG58"/>
      <c r="CH58"/>
      <c r="CI58"/>
      <c r="CJ58"/>
      <c r="CK58"/>
      <c r="CL58"/>
      <c r="CM58"/>
      <c r="CN58"/>
      <c r="CO58"/>
      <c r="CP58" s="11"/>
    </row>
    <row r="59" spans="1:9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 password="CCAE" sheet="1" objects="1" scenarios="1"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P239"/>
  <sheetViews>
    <sheetView tabSelected="1" view="pageBreakPreview" zoomScale="60" zoomScaleNormal="60" workbookViewId="0" topLeftCell="A6">
      <pane xSplit="6" ySplit="4" topLeftCell="G10" activePane="bottomRight" state="frozen"/>
      <selection pane="topLeft" activeCell="A6" sqref="A6"/>
      <selection pane="topRight" activeCell="G6" sqref="G6"/>
      <selection pane="bottomLeft" activeCell="A10" sqref="A10"/>
      <selection pane="bottomRight" activeCell="G10" sqref="G10"/>
    </sheetView>
  </sheetViews>
  <sheetFormatPr defaultColWidth="9.140625" defaultRowHeight="12.75"/>
  <cols>
    <col min="1" max="2" width="6.7109375" style="0" customWidth="1"/>
    <col min="3" max="3" width="15.421875" style="0" customWidth="1"/>
    <col min="4" max="4" width="14.7109375" style="0" customWidth="1"/>
    <col min="5" max="5" width="11.7109375" style="0" customWidth="1"/>
    <col min="6" max="6" width="3.7109375" style="0" customWidth="1"/>
    <col min="7" max="18" width="15.7109375" style="0" customWidth="1"/>
    <col min="19" max="19" width="3.7109375" style="0" customWidth="1"/>
    <col min="20" max="22" width="12.7109375" style="0" customWidth="1"/>
    <col min="23" max="24" width="3.7109375" style="0" customWidth="1"/>
    <col min="25" max="25" width="20.7109375" style="0" customWidth="1"/>
    <col min="26" max="27" width="12.7109375" style="0" customWidth="1"/>
  </cols>
  <sheetData>
    <row r="1" spans="1:94" ht="16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5"/>
      <c r="J1" s="165"/>
      <c r="K1" s="165"/>
      <c r="L1" s="165" t="s">
        <v>148</v>
      </c>
      <c r="M1" s="164"/>
      <c r="N1" s="166"/>
      <c r="O1" s="166"/>
      <c r="P1" s="167"/>
      <c r="Q1" s="167"/>
      <c r="R1" s="167"/>
      <c r="S1" s="166"/>
      <c r="T1" s="311" t="s">
        <v>153</v>
      </c>
      <c r="U1" s="311"/>
      <c r="V1" s="311"/>
      <c r="W1" s="164"/>
      <c r="X1" s="164"/>
      <c r="Y1" s="164"/>
      <c r="Z1" s="164"/>
      <c r="AA1" s="16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1:94" ht="16.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6"/>
      <c r="O2" s="166"/>
      <c r="P2" s="166"/>
      <c r="Q2" s="168"/>
      <c r="R2" s="166"/>
      <c r="S2" s="166"/>
      <c r="T2" s="166"/>
      <c r="U2" s="168"/>
      <c r="V2" s="166"/>
      <c r="W2" s="164"/>
      <c r="X2" s="164"/>
      <c r="Y2" s="164"/>
      <c r="Z2" s="164"/>
      <c r="AA2" s="16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ht="15">
      <c r="A3" s="164" t="s">
        <v>232</v>
      </c>
      <c r="B3" s="164"/>
      <c r="C3" s="164"/>
      <c r="D3" s="164"/>
      <c r="E3" s="164"/>
      <c r="F3" s="164"/>
      <c r="G3" s="164"/>
      <c r="H3" s="164"/>
      <c r="I3" s="165"/>
      <c r="J3" s="165"/>
      <c r="K3" s="165"/>
      <c r="L3" s="165" t="s">
        <v>137</v>
      </c>
      <c r="M3" s="164"/>
      <c r="N3" s="166"/>
      <c r="O3" s="166"/>
      <c r="P3" s="167"/>
      <c r="Q3" s="167"/>
      <c r="R3" s="167"/>
      <c r="S3" s="166"/>
      <c r="T3" s="311" t="s">
        <v>154</v>
      </c>
      <c r="U3" s="311"/>
      <c r="V3" s="311"/>
      <c r="W3" s="164"/>
      <c r="X3" s="164"/>
      <c r="Y3" s="164"/>
      <c r="Z3" s="164"/>
      <c r="AA3" s="16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ht="1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7"/>
      <c r="W4" s="164"/>
      <c r="X4" s="164"/>
      <c r="Y4" s="164"/>
      <c r="Z4" s="164"/>
      <c r="AA4" s="16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6.5">
      <c r="A5" s="288" t="s">
        <v>233</v>
      </c>
      <c r="B5" s="288" t="str">
        <f ca="1">(CELL("filename"))</f>
        <v>\\bsd-server\Shared\Operations\TREATMENT PLANT DIVISION\STATE  REPORT\Historical State Reports\2003 State Report\[2003 State Report.xls]Annual 03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8"/>
      <c r="N5" s="164"/>
      <c r="O5" s="164"/>
      <c r="P5" s="164"/>
      <c r="Q5" s="164"/>
      <c r="R5" s="164"/>
      <c r="S5" s="164"/>
      <c r="T5" s="164"/>
      <c r="U5" s="164"/>
      <c r="V5" s="169" t="s">
        <v>155</v>
      </c>
      <c r="W5" s="164"/>
      <c r="X5" s="164"/>
      <c r="Y5" s="164"/>
      <c r="Z5" s="164"/>
      <c r="AA5" s="16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ht="16.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8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308" t="s">
        <v>156</v>
      </c>
      <c r="U7" s="309"/>
      <c r="V7" s="310"/>
      <c r="W7" s="164"/>
      <c r="X7" s="164"/>
      <c r="Y7" s="164"/>
      <c r="Z7" s="164"/>
      <c r="AA7" s="16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18" customHeight="1">
      <c r="A8" s="164"/>
      <c r="B8" s="170" t="s">
        <v>157</v>
      </c>
      <c r="C8" s="170"/>
      <c r="D8" s="170" t="s">
        <v>158</v>
      </c>
      <c r="E8" s="171" t="s">
        <v>123</v>
      </c>
      <c r="F8" s="171"/>
      <c r="G8" s="171" t="s">
        <v>28</v>
      </c>
      <c r="H8" s="171" t="s">
        <v>29</v>
      </c>
      <c r="I8" s="172" t="s">
        <v>30</v>
      </c>
      <c r="J8" s="171" t="s">
        <v>31</v>
      </c>
      <c r="K8" s="171" t="s">
        <v>32</v>
      </c>
      <c r="L8" s="171" t="s">
        <v>33</v>
      </c>
      <c r="M8" s="171" t="s">
        <v>34</v>
      </c>
      <c r="N8" s="171" t="s">
        <v>35</v>
      </c>
      <c r="O8" s="171" t="s">
        <v>36</v>
      </c>
      <c r="P8" s="171" t="s">
        <v>37</v>
      </c>
      <c r="Q8" s="171" t="s">
        <v>38</v>
      </c>
      <c r="R8" s="171" t="s">
        <v>39</v>
      </c>
      <c r="S8" s="171"/>
      <c r="T8" s="171" t="s">
        <v>52</v>
      </c>
      <c r="U8" s="171" t="s">
        <v>67</v>
      </c>
      <c r="V8" s="171" t="s">
        <v>123</v>
      </c>
      <c r="W8" s="164"/>
      <c r="X8" s="164"/>
      <c r="Y8" s="164"/>
      <c r="Z8" s="164"/>
      <c r="AA8" s="16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ht="18" customHeight="1" thickBot="1">
      <c r="A9" s="164"/>
      <c r="B9" s="164"/>
      <c r="C9" s="164"/>
      <c r="D9" s="164"/>
      <c r="E9" s="167"/>
      <c r="F9" s="167"/>
      <c r="G9" s="167"/>
      <c r="H9" s="167"/>
      <c r="I9" s="173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64"/>
      <c r="Z9" s="164"/>
      <c r="AA9" s="16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 thickBot="1">
      <c r="A10" s="164"/>
      <c r="B10" s="164" t="s">
        <v>159</v>
      </c>
      <c r="C10" s="164"/>
      <c r="D10" s="164" t="s">
        <v>160</v>
      </c>
      <c r="E10" s="169" t="s">
        <v>40</v>
      </c>
      <c r="F10" s="169"/>
      <c r="G10" s="243">
        <f>('January 03'!$D$44)</f>
        <v>67.32499999999999</v>
      </c>
      <c r="H10" s="289">
        <f>('February 03'!$D$44)</f>
        <v>58.824</v>
      </c>
      <c r="I10" s="243">
        <f>('March 03'!$D$44)</f>
        <v>87.71499999999999</v>
      </c>
      <c r="J10" s="243">
        <f>('April 03'!$D$44)</f>
        <v>96.19199999999998</v>
      </c>
      <c r="K10" s="243">
        <f>('May 03'!$D$44)</f>
        <v>82.33800000000002</v>
      </c>
      <c r="L10" s="243">
        <f>('June 03'!$D$44)</f>
        <v>74.511</v>
      </c>
      <c r="M10" s="243">
        <f>('July 03'!$D$44)</f>
        <v>65.43</v>
      </c>
      <c r="N10" s="243">
        <f>('August 03'!$D$44)</f>
        <v>59.291000000000004</v>
      </c>
      <c r="O10" s="243">
        <f>('September 03'!$D$44)</f>
        <v>60.705</v>
      </c>
      <c r="P10" s="243">
        <f>('October 03'!$D$44)</f>
        <v>77.48599999999999</v>
      </c>
      <c r="Q10" s="243">
        <f>('November 03'!$D$44)</f>
        <v>88.41800000000002</v>
      </c>
      <c r="R10" s="289">
        <f>('December 03'!$D$44)</f>
        <v>98.175</v>
      </c>
      <c r="S10" s="243"/>
      <c r="T10" s="291">
        <f>(SUM(G10:R10))</f>
        <v>916.4100000000001</v>
      </c>
      <c r="U10" s="243">
        <f>(IF(((SUM(G10:R10))=0)," ",(AVERAGE(G10:R10))))</f>
        <v>76.3675</v>
      </c>
      <c r="V10" s="169" t="s">
        <v>40</v>
      </c>
      <c r="W10" s="164"/>
      <c r="X10" s="164"/>
      <c r="Y10" s="164" t="s">
        <v>161</v>
      </c>
      <c r="Z10" s="164"/>
      <c r="AA10" s="16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 thickBot="1">
      <c r="A11" s="164"/>
      <c r="B11" s="164"/>
      <c r="C11" s="164"/>
      <c r="D11" s="164" t="s">
        <v>162</v>
      </c>
      <c r="E11" s="169" t="s">
        <v>41</v>
      </c>
      <c r="F11" s="169"/>
      <c r="G11" s="243">
        <f>('January 03'!$D$45)</f>
        <v>2.502</v>
      </c>
      <c r="H11" s="243">
        <f>('February 03'!$D$45)</f>
        <v>2.629</v>
      </c>
      <c r="I11" s="289">
        <f>('March 03'!$D$45)</f>
        <v>4.434</v>
      </c>
      <c r="J11" s="243">
        <f>('April 03'!$D$45)</f>
        <v>4.239</v>
      </c>
      <c r="K11" s="243">
        <f>('May 03'!$D$45)</f>
        <v>2.903</v>
      </c>
      <c r="L11" s="243">
        <f>('June 03'!$D$45)</f>
        <v>2.746</v>
      </c>
      <c r="M11" s="243">
        <f>('July 03'!$D$45)</f>
        <v>2.385</v>
      </c>
      <c r="N11" s="243">
        <f>('August 03'!$D$45)</f>
        <v>2.134</v>
      </c>
      <c r="O11" s="243">
        <f>('September 03'!$D$45)</f>
        <v>2.59</v>
      </c>
      <c r="P11" s="243">
        <f>('October 03'!$D$45)</f>
        <v>4.034</v>
      </c>
      <c r="Q11" s="243">
        <f>('November 03'!$D$45)</f>
        <v>3.513</v>
      </c>
      <c r="R11" s="243">
        <f>('December 03'!$D$45)</f>
        <v>4.221</v>
      </c>
      <c r="S11" s="243"/>
      <c r="T11" s="243" t="s">
        <v>150</v>
      </c>
      <c r="U11" s="243">
        <f>(IF(((SUM(G11:R11))=0)," ",(AVERAGE(G11:R11))))</f>
        <v>3.1941666666666664</v>
      </c>
      <c r="V11" s="169" t="s">
        <v>41</v>
      </c>
      <c r="W11" s="164"/>
      <c r="X11" s="164"/>
      <c r="Y11" s="164" t="s">
        <v>163</v>
      </c>
      <c r="Z11" s="164"/>
      <c r="AA11" s="16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 thickBot="1">
      <c r="A12" s="164"/>
      <c r="B12" s="164"/>
      <c r="C12" s="164"/>
      <c r="D12" s="164" t="s">
        <v>164</v>
      </c>
      <c r="E12" s="169" t="s">
        <v>41</v>
      </c>
      <c r="F12" s="169"/>
      <c r="G12" s="243">
        <f>('January 03'!$D$47)</f>
        <v>2.1717741935483867</v>
      </c>
      <c r="H12" s="243">
        <f>('February 03'!$D$47)</f>
        <v>2.100857142857143</v>
      </c>
      <c r="I12" s="243">
        <f>('March 03'!$D$47)</f>
        <v>2.8295161290322577</v>
      </c>
      <c r="J12" s="290">
        <f>('April 03'!$D$47)</f>
        <v>3.2063999999999995</v>
      </c>
      <c r="K12" s="243">
        <f>('May 03'!$D$47)</f>
        <v>2.656064516129033</v>
      </c>
      <c r="L12" s="243">
        <f>('June 03'!$D$47)</f>
        <v>2.4837</v>
      </c>
      <c r="M12" s="243">
        <f>('July 03'!$D$47)</f>
        <v>2.1106451612903228</v>
      </c>
      <c r="N12" s="289">
        <f>('August 03'!$D$47)</f>
        <v>1.9126129032258066</v>
      </c>
      <c r="O12" s="243">
        <f>('September 03'!$D$47)</f>
        <v>2.0235</v>
      </c>
      <c r="P12" s="243">
        <f>('October 03'!$D$47)</f>
        <v>2.499548387096774</v>
      </c>
      <c r="Q12" s="243">
        <f>('November 03'!$D$47)</f>
        <v>2.947266666666667</v>
      </c>
      <c r="R12" s="243">
        <f>('December 03'!$D$47)</f>
        <v>3.166935483870968</v>
      </c>
      <c r="S12" s="243"/>
      <c r="T12" s="243" t="s">
        <v>150</v>
      </c>
      <c r="U12" s="291">
        <f>(IF(((SUM(G12:R12))=0)," ",(AVERAGE(G12:R12))))</f>
        <v>2.5090683819764465</v>
      </c>
      <c r="V12" s="169" t="s">
        <v>41</v>
      </c>
      <c r="W12" s="164"/>
      <c r="X12" s="164"/>
      <c r="Y12" s="164" t="s">
        <v>164</v>
      </c>
      <c r="Z12" s="164"/>
      <c r="AA12" s="16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 thickBot="1">
      <c r="A13" s="164"/>
      <c r="B13" s="164"/>
      <c r="C13" s="164"/>
      <c r="D13" s="164" t="s">
        <v>165</v>
      </c>
      <c r="E13" s="169" t="s">
        <v>41</v>
      </c>
      <c r="F13" s="169"/>
      <c r="G13" s="243">
        <f>('January 03'!$D$46)</f>
        <v>2.059</v>
      </c>
      <c r="H13" s="243">
        <f>('February 03'!$D$46)</f>
        <v>1.915</v>
      </c>
      <c r="I13" s="243">
        <f>('March 03'!$D$46)</f>
        <v>2.153</v>
      </c>
      <c r="J13" s="243">
        <f>('April 03'!$D$46)</f>
        <v>2.646</v>
      </c>
      <c r="K13" s="243">
        <f>('May 03'!$D$46)</f>
        <v>2.28</v>
      </c>
      <c r="L13" s="243">
        <f>('June 03'!$D$46)</f>
        <v>2.113</v>
      </c>
      <c r="M13" s="243">
        <f>('July 03'!$D$46)</f>
        <v>1.886</v>
      </c>
      <c r="N13" s="243">
        <f>('August 03'!$D$46)</f>
        <v>1.694</v>
      </c>
      <c r="O13" s="289">
        <f>('September 03'!$D$46)</f>
        <v>1.623</v>
      </c>
      <c r="P13" s="243">
        <f>('October 03'!$D$46)</f>
        <v>2.117</v>
      </c>
      <c r="Q13" s="243">
        <f>('November 03'!$D$46)</f>
        <v>2.54</v>
      </c>
      <c r="R13" s="243">
        <f>('December 03'!$D$46)</f>
        <v>2.538</v>
      </c>
      <c r="S13" s="243"/>
      <c r="T13" s="243" t="s">
        <v>150</v>
      </c>
      <c r="U13" s="243">
        <f>(IF(((SUM(G13:R13))=0)," ",(AVERAGE(G13:R13))))</f>
        <v>2.130333333333333</v>
      </c>
      <c r="V13" s="169" t="s">
        <v>41</v>
      </c>
      <c r="W13" s="164"/>
      <c r="X13" s="164"/>
      <c r="Y13" s="164" t="s">
        <v>166</v>
      </c>
      <c r="Z13" s="164"/>
      <c r="AA13" s="16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N13" s="4"/>
      <c r="BP13" s="4"/>
      <c r="BT13" s="4"/>
      <c r="BY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 thickBot="1">
      <c r="A14" s="164"/>
      <c r="B14" s="164"/>
      <c r="C14" s="164"/>
      <c r="D14" s="164"/>
      <c r="E14" s="169"/>
      <c r="F14" s="169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248"/>
      <c r="U14" s="167"/>
      <c r="V14" s="169"/>
      <c r="W14" s="164"/>
      <c r="X14" s="164"/>
      <c r="Y14" s="164"/>
      <c r="Z14" s="164"/>
      <c r="AA14" s="16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 thickBot="1">
      <c r="A15" s="164"/>
      <c r="B15" s="164" t="s">
        <v>167</v>
      </c>
      <c r="C15" s="164"/>
      <c r="D15" s="164" t="s">
        <v>168</v>
      </c>
      <c r="E15" s="169" t="s">
        <v>73</v>
      </c>
      <c r="F15" s="169"/>
      <c r="G15" s="292">
        <f>('January 03'!$H$44)</f>
        <v>18700</v>
      </c>
      <c r="H15" s="249">
        <f>('February 03'!$H$44)</f>
        <v>22900</v>
      </c>
      <c r="I15" s="249">
        <f>('March 03'!$H$44)</f>
        <v>46450</v>
      </c>
      <c r="J15" s="249">
        <f>('April 03'!$H$44)</f>
        <v>52650</v>
      </c>
      <c r="K15" s="249">
        <f>('May 03'!$H$44)</f>
        <v>56100</v>
      </c>
      <c r="L15" s="249">
        <f>('June 03'!$H$44)</f>
        <v>82500</v>
      </c>
      <c r="M15" s="249">
        <f>('July 03'!$H$44)</f>
        <v>90000</v>
      </c>
      <c r="N15" s="292">
        <f>('August 03'!$H$44)</f>
        <v>92550</v>
      </c>
      <c r="O15" s="249">
        <f>('September 03'!$H$44)</f>
        <v>63350</v>
      </c>
      <c r="P15" s="249">
        <f>('October 03'!$H$44)</f>
        <v>66200</v>
      </c>
      <c r="Q15" s="249">
        <f>('November 03'!$H$44)</f>
        <v>63650</v>
      </c>
      <c r="R15" s="249">
        <f>('December 03'!$H$44)</f>
        <v>65950</v>
      </c>
      <c r="S15" s="244"/>
      <c r="T15" s="249">
        <f>(SUM(G15:R15))</f>
        <v>721000</v>
      </c>
      <c r="U15" s="249">
        <f>(IF(((SUM(G15:R15))=0)," ",(AVERAGE(G15:R15))))</f>
        <v>60083.333333333336</v>
      </c>
      <c r="V15" s="169" t="s">
        <v>73</v>
      </c>
      <c r="W15" s="164"/>
      <c r="X15" s="164"/>
      <c r="Y15" s="164" t="s">
        <v>161</v>
      </c>
      <c r="Z15" s="164"/>
      <c r="AA15" s="16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 thickBot="1">
      <c r="A16" s="164"/>
      <c r="B16" s="164"/>
      <c r="C16" s="164"/>
      <c r="D16" s="164"/>
      <c r="E16" s="169"/>
      <c r="F16" s="169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9"/>
      <c r="W16" s="164"/>
      <c r="X16" s="164"/>
      <c r="Y16" s="164"/>
      <c r="Z16" s="164"/>
      <c r="AA16" s="16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 thickBot="1">
      <c r="A17" s="164"/>
      <c r="B17" s="164" t="s">
        <v>169</v>
      </c>
      <c r="C17" s="164"/>
      <c r="D17" s="164" t="s">
        <v>168</v>
      </c>
      <c r="E17" s="169" t="s">
        <v>73</v>
      </c>
      <c r="F17" s="169"/>
      <c r="G17" s="249">
        <f>('January 03'!$I$44)</f>
        <v>34250</v>
      </c>
      <c r="H17" s="292">
        <f>('February 03'!$I$44)</f>
        <v>31750</v>
      </c>
      <c r="I17" s="249">
        <f>('March 03'!$I$44)</f>
        <v>46750</v>
      </c>
      <c r="J17" s="249">
        <f>('April 03'!$I$44)</f>
        <v>131000</v>
      </c>
      <c r="K17" s="249">
        <f>('May 03'!$I$44)</f>
        <v>194750</v>
      </c>
      <c r="L17" s="249">
        <f>('June 03'!$I$44)</f>
        <v>161800</v>
      </c>
      <c r="M17" s="249">
        <f>('July 03'!$I$44)</f>
        <v>173000</v>
      </c>
      <c r="N17" s="249">
        <f>('August 03'!$I$44)</f>
        <v>167000</v>
      </c>
      <c r="O17" s="293">
        <f>('September 03'!$I$44)</f>
        <v>197800</v>
      </c>
      <c r="P17" s="294">
        <f>('October 03'!$I$44)</f>
        <v>197800</v>
      </c>
      <c r="Q17" s="249">
        <f>('November 03'!$I$44)</f>
        <v>150300</v>
      </c>
      <c r="R17" s="249">
        <f>('December 03'!$I$44)</f>
        <v>82500</v>
      </c>
      <c r="S17" s="244"/>
      <c r="T17" s="295">
        <f>(SUM(G17:R17))</f>
        <v>1568700</v>
      </c>
      <c r="U17" s="249"/>
      <c r="V17" s="169" t="s">
        <v>73</v>
      </c>
      <c r="W17" s="164"/>
      <c r="X17" s="164"/>
      <c r="Y17" s="164" t="s">
        <v>161</v>
      </c>
      <c r="Z17" s="164"/>
      <c r="AA17" s="16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164"/>
      <c r="B18" s="164"/>
      <c r="C18" s="164"/>
      <c r="D18" s="164"/>
      <c r="E18" s="169"/>
      <c r="F18" s="169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9" t="s">
        <v>235</v>
      </c>
      <c r="U18" s="295">
        <f>(T17/52/5.5)</f>
        <v>5484.965034965035</v>
      </c>
      <c r="V18" s="169" t="s">
        <v>234</v>
      </c>
      <c r="W18" s="164"/>
      <c r="X18" s="164"/>
      <c r="Y18" s="164"/>
      <c r="Z18" s="164"/>
      <c r="AA18" s="16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N18" s="4"/>
      <c r="BP18" s="4"/>
      <c r="BT18" s="4"/>
      <c r="BY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164"/>
      <c r="B19" s="164" t="s">
        <v>42</v>
      </c>
      <c r="C19" s="164"/>
      <c r="D19" s="164" t="s">
        <v>170</v>
      </c>
      <c r="E19" s="169" t="s">
        <v>171</v>
      </c>
      <c r="F19" s="169"/>
      <c r="G19" s="250" t="str">
        <f>('January 03'!$O$44)</f>
        <v>0.0</v>
      </c>
      <c r="H19" s="250" t="str">
        <f>('February 03'!$O$44)</f>
        <v>0.0</v>
      </c>
      <c r="I19" s="250" t="str">
        <f>('March 03'!$O$44)</f>
        <v>0.0</v>
      </c>
      <c r="J19" s="250">
        <f>('April 03'!$O$44)</f>
        <v>2</v>
      </c>
      <c r="K19" s="250" t="str">
        <f>('May 03'!$O$44)</f>
        <v>0.0</v>
      </c>
      <c r="L19" s="250" t="str">
        <f>('June 03'!$O$44)</f>
        <v>0.0</v>
      </c>
      <c r="M19" s="250" t="str">
        <f>('July 03'!$O$44)</f>
        <v>0.0</v>
      </c>
      <c r="N19" s="250" t="str">
        <f>('August 03'!$O$44)</f>
        <v>0.0</v>
      </c>
      <c r="O19" s="250" t="str">
        <f>('September 03'!$O$44)</f>
        <v>0.0</v>
      </c>
      <c r="P19" s="250">
        <f>('October 03'!$O$44)</f>
        <v>10</v>
      </c>
      <c r="Q19" s="250" t="str">
        <f>('November 03'!$O$44)</f>
        <v>0.0</v>
      </c>
      <c r="R19" s="250" t="str">
        <f>('December 03'!$O$44)</f>
        <v>0.0</v>
      </c>
      <c r="S19" s="245"/>
      <c r="T19" s="250">
        <f>(SUM(G19:R19))</f>
        <v>12</v>
      </c>
      <c r="U19" s="250"/>
      <c r="V19" s="169" t="s">
        <v>171</v>
      </c>
      <c r="W19" s="164"/>
      <c r="X19" s="164"/>
      <c r="Y19" s="164" t="s">
        <v>172</v>
      </c>
      <c r="Z19" s="164"/>
      <c r="AA19" s="16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ht="18" customHeight="1">
      <c r="A20" s="164"/>
      <c r="B20" s="164"/>
      <c r="C20" s="164"/>
      <c r="D20" s="164"/>
      <c r="E20" s="169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9"/>
      <c r="W20" s="164"/>
      <c r="X20" s="164"/>
      <c r="Y20" s="164"/>
      <c r="Z20" s="164"/>
      <c r="AA20" s="16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ht="18" customHeight="1">
      <c r="A21" s="164"/>
      <c r="B21" s="164" t="s">
        <v>5</v>
      </c>
      <c r="C21" s="164"/>
      <c r="D21" s="164" t="s">
        <v>173</v>
      </c>
      <c r="E21" s="169" t="s">
        <v>73</v>
      </c>
      <c r="F21" s="169"/>
      <c r="G21" s="249" t="str">
        <f>('January 03'!$Q$44)</f>
        <v>0</v>
      </c>
      <c r="H21" s="249" t="str">
        <f>('February 03'!$Q$44)</f>
        <v>0</v>
      </c>
      <c r="I21" s="249" t="str">
        <f>('March 03'!$Q$44)</f>
        <v>0</v>
      </c>
      <c r="J21" s="249" t="str">
        <f>('April 03'!$Q$44)</f>
        <v>0</v>
      </c>
      <c r="K21" s="249">
        <f>('May 03'!$Q$44)</f>
        <v>352</v>
      </c>
      <c r="L21" s="249">
        <f>('June 03'!$Q$44)</f>
        <v>782</v>
      </c>
      <c r="M21" s="249">
        <f>('July 03'!$Q$44)</f>
        <v>692</v>
      </c>
      <c r="N21" s="249">
        <f>('August 03'!$Q$44)</f>
        <v>655</v>
      </c>
      <c r="O21" s="249">
        <f>('September 03'!$Q$44)</f>
        <v>769</v>
      </c>
      <c r="P21" s="249" t="str">
        <f>('October 03'!$Q$44)</f>
        <v>0</v>
      </c>
      <c r="Q21" s="249" t="str">
        <f>('November 03'!$Q$44)</f>
        <v>0</v>
      </c>
      <c r="R21" s="249" t="str">
        <f>('December 03'!$Q$44)</f>
        <v>0</v>
      </c>
      <c r="S21" s="244"/>
      <c r="T21" s="249">
        <f>(SUM(G21:R21))</f>
        <v>3250</v>
      </c>
      <c r="U21" s="249">
        <f>(T21/5)</f>
        <v>650</v>
      </c>
      <c r="V21" s="169" t="s">
        <v>174</v>
      </c>
      <c r="W21" s="164"/>
      <c r="X21" s="164"/>
      <c r="Y21" s="164" t="s">
        <v>161</v>
      </c>
      <c r="Z21" s="164"/>
      <c r="AA21" s="16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ht="18" customHeight="1" thickBot="1">
      <c r="A22" s="164"/>
      <c r="B22" s="164"/>
      <c r="C22" s="164"/>
      <c r="D22" s="164"/>
      <c r="E22" s="169"/>
      <c r="F22" s="169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251"/>
      <c r="V22" s="169"/>
      <c r="W22" s="164"/>
      <c r="X22" s="164"/>
      <c r="Y22" s="164"/>
      <c r="Z22" s="164"/>
      <c r="AA22" s="16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ht="18" customHeight="1" thickBot="1">
      <c r="A23" s="164"/>
      <c r="B23" s="164" t="s">
        <v>111</v>
      </c>
      <c r="C23" s="164" t="s">
        <v>84</v>
      </c>
      <c r="D23" s="164" t="s">
        <v>162</v>
      </c>
      <c r="E23" s="169" t="s">
        <v>175</v>
      </c>
      <c r="F23" s="169"/>
      <c r="G23" s="250">
        <f>('January 03'!$U$45)</f>
        <v>7.6</v>
      </c>
      <c r="H23" s="250">
        <f>('February 03'!$U$45)</f>
        <v>7.7</v>
      </c>
      <c r="I23" s="250">
        <f>('March 03'!$U$45)</f>
        <v>7.5</v>
      </c>
      <c r="J23" s="250">
        <f>('April 03'!$U$45)</f>
        <v>7.2</v>
      </c>
      <c r="K23" s="296">
        <f>('May 03'!$U$45)</f>
        <v>8.6</v>
      </c>
      <c r="L23" s="250">
        <f>('June 03'!$U$45)</f>
        <v>8.1</v>
      </c>
      <c r="M23" s="250">
        <f>('July 03'!$U$45)</f>
        <v>7.4</v>
      </c>
      <c r="N23" s="250">
        <f>('August 03'!$U$45)</f>
        <v>7.6</v>
      </c>
      <c r="O23" s="250">
        <f>('September 03'!$U$45)</f>
        <v>7.8</v>
      </c>
      <c r="P23" s="250">
        <f>('October 03'!$U$45)</f>
        <v>8.1</v>
      </c>
      <c r="Q23" s="250">
        <f>('November 03'!$U$45)</f>
        <v>7.33</v>
      </c>
      <c r="R23" s="250">
        <f>('December 03'!$U$45)</f>
        <v>7.7</v>
      </c>
      <c r="S23" s="245"/>
      <c r="T23" s="245" t="s">
        <v>150</v>
      </c>
      <c r="U23" s="250" t="s">
        <v>150</v>
      </c>
      <c r="V23" s="169" t="s">
        <v>175</v>
      </c>
      <c r="W23" s="164"/>
      <c r="X23" s="164"/>
      <c r="Y23" s="164" t="s">
        <v>163</v>
      </c>
      <c r="Z23" s="164"/>
      <c r="AA23" s="16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N23" s="4"/>
      <c r="BP23" s="4"/>
      <c r="BT23" s="4"/>
      <c r="BY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ht="18" customHeight="1" thickBot="1">
      <c r="A24" s="164"/>
      <c r="B24" s="164"/>
      <c r="C24" s="164"/>
      <c r="D24" s="164" t="s">
        <v>164</v>
      </c>
      <c r="E24" s="169"/>
      <c r="F24" s="169"/>
      <c r="G24" s="250">
        <f>('January 03'!$U$47)</f>
        <v>7.13548387096774</v>
      </c>
      <c r="H24" s="250">
        <f>('February 03'!$U$47)</f>
        <v>7.328571428571428</v>
      </c>
      <c r="I24" s="250">
        <f>('March 03'!$U$47)</f>
        <v>7.154838709677419</v>
      </c>
      <c r="J24" s="250">
        <f>('April 03'!$U$47)</f>
        <v>6.933333333333335</v>
      </c>
      <c r="K24" s="250">
        <f>('May 03'!$U$47)</f>
        <v>7.203225806451615</v>
      </c>
      <c r="L24" s="250">
        <f>('June 03'!$U$47)</f>
        <v>7.183333333333332</v>
      </c>
      <c r="M24" s="250">
        <f>('July 03'!$U$47)</f>
        <v>7.096774193548387</v>
      </c>
      <c r="N24" s="250">
        <f>('August 03'!$U$47)</f>
        <v>7.277419354838712</v>
      </c>
      <c r="O24" s="250">
        <f>('September 03'!$U$47)</f>
        <v>7.3466666666666685</v>
      </c>
      <c r="P24" s="250">
        <f>('October 03'!$U$47)</f>
        <v>7.187096774193549</v>
      </c>
      <c r="Q24" s="250">
        <f>('November 03'!$U$47)</f>
        <v>7.041666666666668</v>
      </c>
      <c r="R24" s="250">
        <f>('December 03'!$U$47)</f>
        <v>7.006451612903225</v>
      </c>
      <c r="S24" s="245"/>
      <c r="T24" s="245" t="s">
        <v>150</v>
      </c>
      <c r="U24" s="304">
        <f>(IF(((SUM(G24:R24))=0)," ",(AVERAGE(G24:R24))))</f>
        <v>7.15790514592934</v>
      </c>
      <c r="V24" s="169"/>
      <c r="W24" s="164"/>
      <c r="X24" s="164"/>
      <c r="Y24" s="164" t="s">
        <v>164</v>
      </c>
      <c r="Z24" s="164"/>
      <c r="AA24" s="16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ht="18" customHeight="1" thickBot="1">
      <c r="A25" s="164"/>
      <c r="B25" s="164"/>
      <c r="C25" s="164"/>
      <c r="D25" s="164" t="s">
        <v>165</v>
      </c>
      <c r="E25" s="169"/>
      <c r="F25" s="169"/>
      <c r="G25" s="250">
        <f>('January 03'!$U$46)</f>
        <v>6.8</v>
      </c>
      <c r="H25" s="250">
        <f>('February 03'!$U$46)</f>
        <v>6.9</v>
      </c>
      <c r="I25" s="250">
        <f>('March 03'!$U$46)</f>
        <v>6.8</v>
      </c>
      <c r="J25" s="296">
        <f>('April 03'!$U$46)</f>
        <v>6.6</v>
      </c>
      <c r="K25" s="250">
        <f>('May 03'!$U$46)</f>
        <v>6.8</v>
      </c>
      <c r="L25" s="250">
        <f>('June 03'!$U$46)</f>
        <v>6.8</v>
      </c>
      <c r="M25" s="250">
        <f>('July 03'!$U$46)</f>
        <v>6.7</v>
      </c>
      <c r="N25" s="250">
        <f>('August 03'!$U$46)</f>
        <v>7</v>
      </c>
      <c r="O25" s="250">
        <f>('September 03'!$U$46)</f>
        <v>7.1</v>
      </c>
      <c r="P25" s="250">
        <f>('October 03'!$U$46)</f>
        <v>6.9</v>
      </c>
      <c r="Q25" s="250">
        <f>('November 03'!$U$46)</f>
        <v>6.8</v>
      </c>
      <c r="R25" s="250">
        <f>('December 03'!$U$46)</f>
        <v>6.7</v>
      </c>
      <c r="S25" s="246"/>
      <c r="T25" s="245" t="s">
        <v>150</v>
      </c>
      <c r="U25" s="250" t="s">
        <v>150</v>
      </c>
      <c r="V25" s="169"/>
      <c r="W25" s="164"/>
      <c r="X25" s="164"/>
      <c r="Y25" s="164" t="s">
        <v>166</v>
      </c>
      <c r="Z25" s="164"/>
      <c r="AA25" s="16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ht="18" customHeight="1">
      <c r="A26" s="164"/>
      <c r="B26" s="164"/>
      <c r="C26" s="164"/>
      <c r="D26" s="164"/>
      <c r="E26" s="169"/>
      <c r="F26" s="169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45"/>
      <c r="T26" s="245"/>
      <c r="U26" s="245"/>
      <c r="V26" s="169"/>
      <c r="W26" s="164"/>
      <c r="X26" s="164"/>
      <c r="Y26" s="164"/>
      <c r="Z26" s="164"/>
      <c r="AA26" s="16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ht="18" customHeight="1">
      <c r="A27" s="164"/>
      <c r="B27" s="164"/>
      <c r="C27" s="164" t="s">
        <v>85</v>
      </c>
      <c r="D27" s="164" t="s">
        <v>162</v>
      </c>
      <c r="E27" s="169" t="s">
        <v>175</v>
      </c>
      <c r="F27" s="169"/>
      <c r="G27" s="250">
        <f>('January 03'!$V$45)</f>
        <v>7.3</v>
      </c>
      <c r="H27" s="250">
        <f>('February 03'!$V$45)</f>
        <v>7.4</v>
      </c>
      <c r="I27" s="250">
        <f>('March 03'!$V$45)</f>
        <v>7.3</v>
      </c>
      <c r="J27" s="250">
        <f>('April 03'!$V$45)</f>
        <v>7.1</v>
      </c>
      <c r="K27" s="250">
        <f>('May 03'!$V$45)</f>
        <v>7.1</v>
      </c>
      <c r="L27" s="250">
        <f>('June 03'!$V$45)</f>
        <v>7.2</v>
      </c>
      <c r="M27" s="250">
        <f>('July 03'!$V$45)</f>
        <v>7.1</v>
      </c>
      <c r="N27" s="250">
        <f>('August 03'!$V$45)</f>
        <v>7.1</v>
      </c>
      <c r="O27" s="250">
        <f>('September 03'!$V$45)</f>
        <v>7.1</v>
      </c>
      <c r="P27" s="250">
        <f>('October 03'!$V$45)</f>
        <v>7.3</v>
      </c>
      <c r="Q27" s="250">
        <f>('November 03'!$V$45)</f>
        <v>7.13</v>
      </c>
      <c r="R27" s="250">
        <f>('December 03'!$V$45)</f>
        <v>7.5</v>
      </c>
      <c r="S27" s="245"/>
      <c r="T27" s="245" t="s">
        <v>150</v>
      </c>
      <c r="U27" s="250" t="s">
        <v>150</v>
      </c>
      <c r="V27" s="169" t="s">
        <v>175</v>
      </c>
      <c r="W27" s="164"/>
      <c r="X27" s="164"/>
      <c r="Y27" s="164" t="s">
        <v>163</v>
      </c>
      <c r="Z27" s="164"/>
      <c r="AA27" s="16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ht="18" customHeight="1">
      <c r="A28" s="164"/>
      <c r="B28" s="164"/>
      <c r="C28" s="164"/>
      <c r="D28" s="164" t="s">
        <v>164</v>
      </c>
      <c r="E28" s="169"/>
      <c r="F28" s="169"/>
      <c r="G28" s="250">
        <f>('January 03'!$V$47)</f>
        <v>7.090322580645158</v>
      </c>
      <c r="H28" s="250">
        <f>('February 03'!$V$47)</f>
        <v>7.203571428571427</v>
      </c>
      <c r="I28" s="250">
        <f>('March 03'!$V$47)</f>
        <v>7.038709677419354</v>
      </c>
      <c r="J28" s="250">
        <f>('April 03'!$V$47)</f>
        <v>6.880000000000001</v>
      </c>
      <c r="K28" s="250">
        <f>('May 03'!$V$47)</f>
        <v>6.967741935483871</v>
      </c>
      <c r="L28" s="250">
        <f>('June 03'!$V$47)</f>
        <v>6.936666666666669</v>
      </c>
      <c r="M28" s="250">
        <f>('July 03'!$V$47)</f>
        <v>6.8903225806451625</v>
      </c>
      <c r="N28" s="250">
        <f>('August 03'!$V$47)</f>
        <v>7.003225806451611</v>
      </c>
      <c r="O28" s="250">
        <f>('September 03'!$V$47)</f>
        <v>7.056666666666663</v>
      </c>
      <c r="P28" s="250">
        <f>('October 03'!$V$47)</f>
        <v>7.0129032258064505</v>
      </c>
      <c r="Q28" s="250">
        <f>('November 03'!$V$47)</f>
        <v>6.985666666666666</v>
      </c>
      <c r="R28" s="250">
        <f>('December 03'!$V$47)</f>
        <v>7.000000000000002</v>
      </c>
      <c r="S28" s="245"/>
      <c r="T28" s="245" t="s">
        <v>150</v>
      </c>
      <c r="U28" s="250">
        <f>(IF(((SUM(G28:R28))=0)," ",(AVERAGE(G28:R28))))</f>
        <v>7.005483102918586</v>
      </c>
      <c r="V28" s="169"/>
      <c r="W28" s="164"/>
      <c r="X28" s="164"/>
      <c r="Y28" s="164" t="s">
        <v>164</v>
      </c>
      <c r="Z28" s="164"/>
      <c r="AA28" s="16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ht="18" customHeight="1">
      <c r="A29" s="164"/>
      <c r="B29" s="164"/>
      <c r="C29" s="164"/>
      <c r="D29" s="164" t="s">
        <v>165</v>
      </c>
      <c r="E29" s="169"/>
      <c r="F29" s="169"/>
      <c r="G29" s="250">
        <f>('January 03'!$V$46)</f>
        <v>7</v>
      </c>
      <c r="H29" s="250">
        <f>('February 03'!$V$46)</f>
        <v>6.9</v>
      </c>
      <c r="I29" s="250">
        <f>('March 03'!$V$46)</f>
        <v>6.6</v>
      </c>
      <c r="J29" s="250">
        <f>('April 03'!$V$46)</f>
        <v>6.3</v>
      </c>
      <c r="K29" s="250">
        <f>('May 03'!$V$46)</f>
        <v>6.7</v>
      </c>
      <c r="L29" s="250">
        <f>('June 03'!$V$46)</f>
        <v>6.8</v>
      </c>
      <c r="M29" s="250">
        <f>('July 03'!$V$46)</f>
        <v>6.2</v>
      </c>
      <c r="N29" s="250">
        <f>('August 03'!$V$46)</f>
        <v>6.2</v>
      </c>
      <c r="O29" s="250">
        <f>('September 03'!$V$46)</f>
        <v>6.6</v>
      </c>
      <c r="P29" s="250">
        <f>('October 03'!$V$46)</f>
        <v>6.2</v>
      </c>
      <c r="Q29" s="250">
        <f>('November 03'!$V$46)</f>
        <v>6.68</v>
      </c>
      <c r="R29" s="250">
        <f>('December 03'!$V$46)</f>
        <v>6.8</v>
      </c>
      <c r="S29" s="245"/>
      <c r="T29" s="245" t="s">
        <v>150</v>
      </c>
      <c r="U29" s="250" t="s">
        <v>150</v>
      </c>
      <c r="V29" s="169"/>
      <c r="W29" s="164"/>
      <c r="X29" s="164"/>
      <c r="Y29" s="164" t="s">
        <v>166</v>
      </c>
      <c r="Z29" s="164"/>
      <c r="AA29" s="16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N29" s="4"/>
      <c r="BP29" s="4"/>
      <c r="BT29" s="4"/>
      <c r="BY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ht="18" customHeight="1" thickBot="1">
      <c r="A30" s="164"/>
      <c r="B30" s="164"/>
      <c r="C30" s="164"/>
      <c r="D30" s="164"/>
      <c r="E30" s="169"/>
      <c r="F30" s="169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45"/>
      <c r="T30" s="245"/>
      <c r="U30" s="245"/>
      <c r="V30" s="169"/>
      <c r="W30" s="164"/>
      <c r="X30" s="164"/>
      <c r="Y30" s="164"/>
      <c r="Z30" s="164"/>
      <c r="AA30" s="16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ht="18" customHeight="1" thickBot="1">
      <c r="A31" s="164"/>
      <c r="B31" s="164"/>
      <c r="C31" s="164" t="s">
        <v>86</v>
      </c>
      <c r="D31" s="164" t="s">
        <v>162</v>
      </c>
      <c r="E31" s="169" t="s">
        <v>175</v>
      </c>
      <c r="F31" s="169"/>
      <c r="G31" s="250">
        <f>('January 03'!$W$45)</f>
        <v>6.8</v>
      </c>
      <c r="H31" s="250">
        <f>('February 03'!$W$45)</f>
        <v>7.1</v>
      </c>
      <c r="I31" s="250">
        <f>('March 03'!$W$45)</f>
        <v>7</v>
      </c>
      <c r="J31" s="250">
        <f>('April 03'!$W$45)</f>
        <v>6.8</v>
      </c>
      <c r="K31" s="250">
        <f>('May 03'!$W$45)</f>
        <v>6.5</v>
      </c>
      <c r="L31" s="250">
        <f>('June 03'!$W$45)</f>
        <v>6.4</v>
      </c>
      <c r="M31" s="250">
        <f>('July 03'!$W$45)</f>
        <v>6.8</v>
      </c>
      <c r="N31" s="250">
        <f>('August 03'!$W$45)</f>
        <v>6.9</v>
      </c>
      <c r="O31" s="250">
        <f>('September 03'!$W$45)</f>
        <v>7</v>
      </c>
      <c r="P31" s="250">
        <f>('October 03'!$W$45)</f>
        <v>7.1</v>
      </c>
      <c r="Q31" s="296">
        <f>('November 03'!$W$45)</f>
        <v>7.2</v>
      </c>
      <c r="R31" s="250">
        <f>('December 03'!$W$45)</f>
        <v>7</v>
      </c>
      <c r="S31" s="245"/>
      <c r="T31" s="245" t="s">
        <v>150</v>
      </c>
      <c r="U31" s="250" t="s">
        <v>150</v>
      </c>
      <c r="V31" s="169" t="s">
        <v>175</v>
      </c>
      <c r="W31" s="164"/>
      <c r="X31" s="164"/>
      <c r="Y31" s="164" t="s">
        <v>163</v>
      </c>
      <c r="Z31" s="164"/>
      <c r="AA31" s="16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ht="18" customHeight="1" thickBot="1">
      <c r="A32" s="164"/>
      <c r="B32" s="164"/>
      <c r="C32" s="164"/>
      <c r="D32" s="164" t="s">
        <v>164</v>
      </c>
      <c r="E32" s="169"/>
      <c r="F32" s="169"/>
      <c r="G32" s="250">
        <f>('January 03'!$W$47)</f>
        <v>6.467741935483872</v>
      </c>
      <c r="H32" s="250">
        <f>('February 03'!$W$47)</f>
        <v>6.689285714285715</v>
      </c>
      <c r="I32" s="250">
        <f>('March 03'!$W$47)</f>
        <v>6.4967741935483865</v>
      </c>
      <c r="J32" s="250">
        <f>('April 03'!$W$47)</f>
        <v>6.3900000000000015</v>
      </c>
      <c r="K32" s="250">
        <f>('May 03'!$W$47)</f>
        <v>6.30967741935484</v>
      </c>
      <c r="L32" s="250">
        <f>('June 03'!$W$47)</f>
        <v>6.3066666666666675</v>
      </c>
      <c r="M32" s="250">
        <f>('July 03'!$W$47)</f>
        <v>6.451612903225807</v>
      </c>
      <c r="N32" s="250">
        <f>('August 03'!$W$47)</f>
        <v>6.729032258064515</v>
      </c>
      <c r="O32" s="250">
        <f>('September 03'!$W$47)</f>
        <v>6.743333333333334</v>
      </c>
      <c r="P32" s="250">
        <f>('October 03'!$W$47)</f>
        <v>6.790322580645163</v>
      </c>
      <c r="Q32" s="250">
        <f>('November 03'!$W$47)</f>
        <v>6.914333333333333</v>
      </c>
      <c r="R32" s="250">
        <f>('December 03'!$W$47)</f>
        <v>6.775483870967744</v>
      </c>
      <c r="S32" s="245"/>
      <c r="T32" s="245" t="s">
        <v>150</v>
      </c>
      <c r="U32" s="304">
        <f>(IF(((SUM(G32:R32))=0)," ",(AVERAGE(G32:R32))))</f>
        <v>6.588688684075781</v>
      </c>
      <c r="V32" s="169"/>
      <c r="W32" s="164"/>
      <c r="X32" s="164"/>
      <c r="Y32" s="164" t="s">
        <v>164</v>
      </c>
      <c r="Z32" s="164"/>
      <c r="AA32" s="16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</row>
    <row r="33" spans="1:94" ht="18" customHeight="1" thickBot="1">
      <c r="A33" s="164"/>
      <c r="B33" s="164"/>
      <c r="C33" s="164"/>
      <c r="D33" s="164" t="s">
        <v>165</v>
      </c>
      <c r="E33" s="169"/>
      <c r="F33" s="169"/>
      <c r="G33" s="250">
        <f>('January 03'!$W$46)</f>
        <v>6.1</v>
      </c>
      <c r="H33" s="250">
        <f>('February 03'!$W$46)</f>
        <v>6.3</v>
      </c>
      <c r="I33" s="250">
        <f>('March 03'!$W$46)</f>
        <v>6.1</v>
      </c>
      <c r="J33" s="250">
        <f>('April 03'!$W$46)</f>
        <v>5.8</v>
      </c>
      <c r="K33" s="297">
        <f>('May 03'!$W$46)</f>
        <v>6.1</v>
      </c>
      <c r="L33" s="298">
        <f>('June 03'!$W$46)</f>
        <v>6.1</v>
      </c>
      <c r="M33" s="299">
        <f>('July 03'!$W$46)</f>
        <v>6.1</v>
      </c>
      <c r="N33" s="250">
        <f>('August 03'!$W$46)</f>
        <v>6.5</v>
      </c>
      <c r="O33" s="250">
        <f>('September 03'!$W$46)</f>
        <v>6.5</v>
      </c>
      <c r="P33" s="250">
        <f>('October 03'!$W$46)</f>
        <v>6.3</v>
      </c>
      <c r="Q33" s="250">
        <f>('November 03'!$W$46)</f>
        <v>6.62</v>
      </c>
      <c r="R33" s="250">
        <f>('December 03'!$W$46)</f>
        <v>6.6</v>
      </c>
      <c r="S33" s="245"/>
      <c r="T33" s="245" t="s">
        <v>150</v>
      </c>
      <c r="U33" s="250" t="s">
        <v>150</v>
      </c>
      <c r="V33" s="169"/>
      <c r="W33" s="164"/>
      <c r="X33" s="164"/>
      <c r="Y33" s="164" t="s">
        <v>166</v>
      </c>
      <c r="Z33" s="164"/>
      <c r="AA33" s="16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</row>
    <row r="34" spans="1:94" ht="18" customHeight="1">
      <c r="A34" s="164"/>
      <c r="B34" s="164"/>
      <c r="C34" s="164"/>
      <c r="D34" s="164"/>
      <c r="E34" s="169"/>
      <c r="F34" s="169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67"/>
      <c r="T34" s="167"/>
      <c r="U34" s="167"/>
      <c r="V34" s="169"/>
      <c r="W34" s="164"/>
      <c r="X34" s="164"/>
      <c r="Y34" s="164"/>
      <c r="Z34" s="164"/>
      <c r="AA34" s="16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N34" s="4"/>
      <c r="BP34" s="4"/>
      <c r="BT34" s="4"/>
      <c r="BY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</row>
    <row r="35" spans="1:94" ht="18" customHeight="1" thickBot="1">
      <c r="A35" s="164"/>
      <c r="B35" s="164" t="s">
        <v>7</v>
      </c>
      <c r="C35" s="164"/>
      <c r="D35" s="164"/>
      <c r="E35" s="169"/>
      <c r="F35" s="169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67"/>
      <c r="T35" s="167"/>
      <c r="U35" s="167"/>
      <c r="V35" s="169"/>
      <c r="W35" s="164"/>
      <c r="X35" s="164"/>
      <c r="Y35" s="164"/>
      <c r="Z35" s="164"/>
      <c r="AA35" s="16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1:94" ht="18" customHeight="1" thickBot="1">
      <c r="A36" s="164"/>
      <c r="B36" s="164"/>
      <c r="C36" s="164" t="s">
        <v>84</v>
      </c>
      <c r="D36" s="164" t="s">
        <v>162</v>
      </c>
      <c r="E36" s="169" t="s">
        <v>176</v>
      </c>
      <c r="F36" s="169"/>
      <c r="G36" s="249">
        <f>('January 03'!$Y$45)</f>
        <v>13</v>
      </c>
      <c r="H36" s="249">
        <f>('February 03'!$Y$45)</f>
        <v>13</v>
      </c>
      <c r="I36" s="249">
        <f>('March 03'!$Y$45)</f>
        <v>11</v>
      </c>
      <c r="J36" s="249">
        <f>('April 03'!$Y$45)</f>
        <v>12</v>
      </c>
      <c r="K36" s="249">
        <f>('May 03'!$Y$45)</f>
        <v>14</v>
      </c>
      <c r="L36" s="249">
        <f>('June 03'!$Y$45)</f>
        <v>16</v>
      </c>
      <c r="M36" s="249">
        <f>('July 03'!$Y$45)</f>
        <v>18</v>
      </c>
      <c r="N36" s="293">
        <f>('August 03'!$Y$45)</f>
        <v>19</v>
      </c>
      <c r="O36" s="300">
        <f>('September 03'!$Y$45)</f>
        <v>19</v>
      </c>
      <c r="P36" s="294">
        <f>('October 03'!$Y$45)</f>
        <v>19</v>
      </c>
      <c r="Q36" s="249">
        <f>('November 03'!$Y$45)</f>
        <v>16</v>
      </c>
      <c r="R36" s="249">
        <f>('December 03'!$Y$45)</f>
        <v>14</v>
      </c>
      <c r="S36" s="244"/>
      <c r="T36" s="244" t="s">
        <v>150</v>
      </c>
      <c r="U36" s="249" t="s">
        <v>150</v>
      </c>
      <c r="V36" s="169" t="s">
        <v>176</v>
      </c>
      <c r="W36" s="164"/>
      <c r="X36" s="164"/>
      <c r="Y36" s="164" t="s">
        <v>163</v>
      </c>
      <c r="Z36" s="164"/>
      <c r="AA36" s="16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</row>
    <row r="37" spans="1:94" ht="18" customHeight="1" thickBot="1">
      <c r="A37" s="164"/>
      <c r="B37" s="164"/>
      <c r="C37" s="164"/>
      <c r="D37" s="164" t="s">
        <v>164</v>
      </c>
      <c r="E37" s="169"/>
      <c r="F37" s="169"/>
      <c r="G37" s="249">
        <f>('January 03'!$Y$47)</f>
        <v>11.838709677419354</v>
      </c>
      <c r="H37" s="249">
        <f>('February 03'!$Y$47)</f>
        <v>10.964285714285714</v>
      </c>
      <c r="I37" s="249">
        <f>('March 03'!$Y$47)</f>
        <v>10.161290322580646</v>
      </c>
      <c r="J37" s="249">
        <f>('April 03'!$Y$47)</f>
        <v>10.7</v>
      </c>
      <c r="K37" s="249">
        <f>('May 03'!$Y$47)</f>
        <v>12.35483870967742</v>
      </c>
      <c r="L37" s="249">
        <f>('June 03'!$Y$47)</f>
        <v>14.433333333333334</v>
      </c>
      <c r="M37" s="249">
        <f>('July 03'!$Y$47)</f>
        <v>16.70967741935484</v>
      </c>
      <c r="N37" s="249">
        <f>('August 03'!$Y$47)</f>
        <v>17.806451612903224</v>
      </c>
      <c r="O37" s="249">
        <f>('September 03'!$Y$47)</f>
        <v>18.5</v>
      </c>
      <c r="P37" s="249">
        <f>('October 03'!$Y$47)</f>
        <v>17.06451612903226</v>
      </c>
      <c r="Q37" s="249">
        <f>('November 03'!$Y$47)</f>
        <v>14.57333333333333</v>
      </c>
      <c r="R37" s="249">
        <f>('December 03'!$Y$47)</f>
        <v>12.658064516129032</v>
      </c>
      <c r="S37" s="244"/>
      <c r="T37" s="244" t="s">
        <v>150</v>
      </c>
      <c r="U37" s="249">
        <f>(IF(((SUM(G37:R37))=0)," ",(AVERAGE(G37:R37))))</f>
        <v>13.980375064004095</v>
      </c>
      <c r="V37" s="169"/>
      <c r="W37" s="164"/>
      <c r="X37" s="164"/>
      <c r="Y37" s="164" t="s">
        <v>164</v>
      </c>
      <c r="Z37" s="164"/>
      <c r="AA37" s="16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1:94" ht="18" customHeight="1" thickBot="1">
      <c r="A38" s="164"/>
      <c r="B38" s="164"/>
      <c r="C38" s="164"/>
      <c r="D38" s="164" t="s">
        <v>165</v>
      </c>
      <c r="E38" s="169"/>
      <c r="F38" s="169"/>
      <c r="G38" s="249">
        <f>('January 03'!$Y$46)</f>
        <v>11</v>
      </c>
      <c r="H38" s="249">
        <f>('February 03'!$Y$46)</f>
        <v>10</v>
      </c>
      <c r="I38" s="293">
        <f>('March 03'!$Y$46)</f>
        <v>9</v>
      </c>
      <c r="J38" s="294">
        <f>('April 03'!$Y$46)</f>
        <v>9</v>
      </c>
      <c r="K38" s="249">
        <f>('May 03'!$Y$46)</f>
        <v>11</v>
      </c>
      <c r="L38" s="249">
        <f>('June 03'!$Y$46)</f>
        <v>12</v>
      </c>
      <c r="M38" s="249">
        <f>('July 03'!$Y$46)</f>
        <v>15</v>
      </c>
      <c r="N38" s="249">
        <f>('August 03'!$Y$46)</f>
        <v>17</v>
      </c>
      <c r="O38" s="249">
        <f>('September 03'!$Y$46)</f>
        <v>17</v>
      </c>
      <c r="P38" s="249">
        <f>('October 03'!$Y$46)</f>
        <v>15</v>
      </c>
      <c r="Q38" s="249">
        <f>('November 03'!$Y$46)</f>
        <v>13</v>
      </c>
      <c r="R38" s="249">
        <f>('December 03'!$Y$46)</f>
        <v>11</v>
      </c>
      <c r="S38" s="244"/>
      <c r="T38" s="244" t="s">
        <v>150</v>
      </c>
      <c r="U38" s="249" t="s">
        <v>150</v>
      </c>
      <c r="V38" s="169"/>
      <c r="W38" s="164"/>
      <c r="X38" s="164"/>
      <c r="Y38" s="164" t="s">
        <v>166</v>
      </c>
      <c r="Z38" s="164"/>
      <c r="AA38" s="16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</row>
    <row r="39" spans="1:94" ht="18" customHeight="1">
      <c r="A39" s="164"/>
      <c r="B39" s="164"/>
      <c r="C39" s="164"/>
      <c r="D39" s="164"/>
      <c r="E39" s="169"/>
      <c r="F39" s="169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44"/>
      <c r="T39" s="244"/>
      <c r="U39" s="244"/>
      <c r="V39" s="169"/>
      <c r="W39" s="164"/>
      <c r="X39" s="164"/>
      <c r="Y39" s="164"/>
      <c r="Z39" s="164"/>
      <c r="AA39" s="16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N39" s="4"/>
      <c r="BP39" s="4"/>
      <c r="BT39" s="4"/>
      <c r="BY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1:94" ht="18" customHeight="1">
      <c r="A40" s="164"/>
      <c r="B40" s="164"/>
      <c r="C40" s="164" t="s">
        <v>85</v>
      </c>
      <c r="D40" s="164" t="s">
        <v>162</v>
      </c>
      <c r="E40" s="169" t="s">
        <v>176</v>
      </c>
      <c r="F40" s="169"/>
      <c r="G40" s="249">
        <f>('January 03'!$Z$45)</f>
        <v>11</v>
      </c>
      <c r="H40" s="249">
        <f>('February 03'!$Z$45)</f>
        <v>11</v>
      </c>
      <c r="I40" s="249">
        <f>('March 03'!$Z$45)</f>
        <v>10</v>
      </c>
      <c r="J40" s="249">
        <f>('April 03'!$Z$45)</f>
        <v>11</v>
      </c>
      <c r="K40" s="249">
        <f>('May 03'!$Z$45)</f>
        <v>14</v>
      </c>
      <c r="L40" s="249">
        <f>('June 03'!$Z$45)</f>
        <v>16</v>
      </c>
      <c r="M40" s="249">
        <f>('July 03'!$Z$45)</f>
        <v>18</v>
      </c>
      <c r="N40" s="249">
        <f>('August 03'!$Z$45)</f>
        <v>19</v>
      </c>
      <c r="O40" s="249">
        <f>('September 03'!$Z$45)</f>
        <v>19</v>
      </c>
      <c r="P40" s="249">
        <f>('October 03'!$Z$45)</f>
        <v>18</v>
      </c>
      <c r="Q40" s="249">
        <f>('November 03'!$Z$45)</f>
        <v>15</v>
      </c>
      <c r="R40" s="249">
        <f>('December 03'!$Z$45)</f>
        <v>14</v>
      </c>
      <c r="S40" s="244"/>
      <c r="T40" s="244" t="s">
        <v>150</v>
      </c>
      <c r="U40" s="249" t="s">
        <v>150</v>
      </c>
      <c r="V40" s="169" t="s">
        <v>176</v>
      </c>
      <c r="W40" s="164"/>
      <c r="X40" s="164"/>
      <c r="Y40" s="164" t="s">
        <v>163</v>
      </c>
      <c r="Z40" s="164"/>
      <c r="AA40" s="16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</row>
    <row r="41" spans="1:94" ht="18" customHeight="1">
      <c r="A41" s="164"/>
      <c r="B41" s="164"/>
      <c r="C41" s="164"/>
      <c r="D41" s="164" t="s">
        <v>164</v>
      </c>
      <c r="E41" s="169"/>
      <c r="F41" s="169"/>
      <c r="G41" s="249">
        <f>('January 03'!$Z$47)</f>
        <v>10.451612903225806</v>
      </c>
      <c r="H41" s="249">
        <f>('February 03'!$Z$47)</f>
        <v>10</v>
      </c>
      <c r="I41" s="249">
        <f>('March 03'!$Z$47)</f>
        <v>9.225806451612904</v>
      </c>
      <c r="J41" s="249">
        <f>('April 03'!$Z$47)</f>
        <v>10.033333333333333</v>
      </c>
      <c r="K41" s="249">
        <f>('May 03'!$Z$47)</f>
        <v>12.193548387096774</v>
      </c>
      <c r="L41" s="249">
        <f>('June 03'!$Z$47)</f>
        <v>14.433333333333334</v>
      </c>
      <c r="M41" s="249">
        <f>('July 03'!$Z$47)</f>
        <v>16.903225806451612</v>
      </c>
      <c r="N41" s="249">
        <f>('August 03'!$Z$47)</f>
        <v>18.161290322580644</v>
      </c>
      <c r="O41" s="249">
        <f>('September 03'!$Z$47)</f>
        <v>18.466666666666665</v>
      </c>
      <c r="P41" s="249">
        <f>('October 03'!$Z$47)</f>
        <v>16.612903225806452</v>
      </c>
      <c r="Q41" s="249">
        <f>('November 03'!$Z$47)</f>
        <v>14.056666666666668</v>
      </c>
      <c r="R41" s="249">
        <f>('December 03'!$Z$47)</f>
        <v>11.709677419354838</v>
      </c>
      <c r="S41" s="244"/>
      <c r="T41" s="244" t="s">
        <v>150</v>
      </c>
      <c r="U41" s="249">
        <f>(IF(((SUM(G41:R41))=0)," ",(AVERAGE(G41:R41))))</f>
        <v>13.520672043010755</v>
      </c>
      <c r="V41" s="169"/>
      <c r="W41" s="164"/>
      <c r="X41" s="164"/>
      <c r="Y41" s="164" t="s">
        <v>164</v>
      </c>
      <c r="Z41" s="164"/>
      <c r="AA41" s="16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</row>
    <row r="42" spans="1:94" ht="18" customHeight="1">
      <c r="A42" s="164"/>
      <c r="B42" s="164"/>
      <c r="C42" s="164"/>
      <c r="D42" s="164" t="s">
        <v>165</v>
      </c>
      <c r="E42" s="169"/>
      <c r="F42" s="169"/>
      <c r="G42" s="249">
        <f>('January 03'!$Z$46)</f>
        <v>9</v>
      </c>
      <c r="H42" s="249">
        <f>('February 03'!$Z$46)</f>
        <v>9</v>
      </c>
      <c r="I42" s="249">
        <f>('March 03'!$Z$46)</f>
        <v>8</v>
      </c>
      <c r="J42" s="249">
        <f>('April 03'!$Z$46)</f>
        <v>8</v>
      </c>
      <c r="K42" s="249">
        <f>('May 03'!$Z$46)</f>
        <v>11</v>
      </c>
      <c r="L42" s="249">
        <f>('June 03'!$Z$46)</f>
        <v>13</v>
      </c>
      <c r="M42" s="249">
        <f>('July 03'!$Z$46)</f>
        <v>15</v>
      </c>
      <c r="N42" s="249">
        <f>('August 03'!$Z$46)</f>
        <v>17</v>
      </c>
      <c r="O42" s="249">
        <f>('September 03'!$Z$46)</f>
        <v>18</v>
      </c>
      <c r="P42" s="249">
        <f>('October 03'!$Z$46)</f>
        <v>15</v>
      </c>
      <c r="Q42" s="249">
        <f>('November 03'!$Z$46)</f>
        <v>12.5</v>
      </c>
      <c r="R42" s="249">
        <f>('December 03'!$Z$46)</f>
        <v>9</v>
      </c>
      <c r="S42" s="244"/>
      <c r="T42" s="244" t="s">
        <v>150</v>
      </c>
      <c r="U42" s="249" t="s">
        <v>150</v>
      </c>
      <c r="V42" s="169"/>
      <c r="W42" s="164"/>
      <c r="X42" s="164"/>
      <c r="Y42" s="164" t="s">
        <v>166</v>
      </c>
      <c r="Z42" s="164"/>
      <c r="AA42" s="16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</row>
    <row r="43" spans="1:94" ht="18" customHeight="1" thickBot="1">
      <c r="A43" s="164"/>
      <c r="B43" s="164"/>
      <c r="C43" s="164"/>
      <c r="D43" s="164"/>
      <c r="E43" s="169"/>
      <c r="F43" s="169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44"/>
      <c r="T43" s="244"/>
      <c r="U43" s="244"/>
      <c r="V43" s="169"/>
      <c r="W43" s="164"/>
      <c r="X43" s="164"/>
      <c r="Y43" s="164"/>
      <c r="Z43" s="164"/>
      <c r="AA43" s="16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1:94" ht="18" customHeight="1" thickBot="1">
      <c r="A44" s="164"/>
      <c r="B44" s="164"/>
      <c r="C44" s="164" t="s">
        <v>86</v>
      </c>
      <c r="D44" s="164" t="s">
        <v>162</v>
      </c>
      <c r="E44" s="169" t="s">
        <v>176</v>
      </c>
      <c r="F44" s="169"/>
      <c r="G44" s="249">
        <f>('January 03'!$AA$45)</f>
        <v>11</v>
      </c>
      <c r="H44" s="249">
        <f>('February 03'!$AA$45)</f>
        <v>11</v>
      </c>
      <c r="I44" s="249">
        <f>('March 03'!$AA$45)</f>
        <v>11</v>
      </c>
      <c r="J44" s="249">
        <f>('April 03'!$AA$45)</f>
        <v>13</v>
      </c>
      <c r="K44" s="249">
        <f>('May 03'!$AA$45)</f>
        <v>15</v>
      </c>
      <c r="L44" s="249">
        <f>('June 03'!$AA$45)</f>
        <v>18</v>
      </c>
      <c r="M44" s="249">
        <f>('July 03'!$AA$45)</f>
        <v>19</v>
      </c>
      <c r="N44" s="293">
        <f>('August 03'!$AA$45)</f>
        <v>20</v>
      </c>
      <c r="O44" s="294">
        <f>('September 03'!$AA$45)</f>
        <v>20</v>
      </c>
      <c r="P44" s="249">
        <f>('October 03'!$AA$45)</f>
        <v>19</v>
      </c>
      <c r="Q44" s="249">
        <f>('November 03'!$AA$45)</f>
        <v>16</v>
      </c>
      <c r="R44" s="249">
        <f>('December 03'!$AA$45)</f>
        <v>14</v>
      </c>
      <c r="S44" s="244"/>
      <c r="T44" s="244" t="s">
        <v>150</v>
      </c>
      <c r="U44" s="249" t="s">
        <v>150</v>
      </c>
      <c r="V44" s="169" t="s">
        <v>176</v>
      </c>
      <c r="W44" s="164"/>
      <c r="X44" s="164"/>
      <c r="Y44" s="164" t="s">
        <v>163</v>
      </c>
      <c r="Z44" s="164"/>
      <c r="AA44" s="16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N44" s="4"/>
      <c r="BP44" s="4"/>
      <c r="BT44" s="4"/>
      <c r="BY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  <row r="45" spans="1:94" ht="18" customHeight="1" thickBot="1">
      <c r="A45" s="164"/>
      <c r="B45" s="164"/>
      <c r="C45" s="164"/>
      <c r="D45" s="164" t="s">
        <v>164</v>
      </c>
      <c r="E45" s="169"/>
      <c r="F45" s="169"/>
      <c r="G45" s="249">
        <f>('January 03'!$AA$47)</f>
        <v>9.903225806451612</v>
      </c>
      <c r="H45" s="249">
        <f>('February 03'!$AA$47)</f>
        <v>9.714285714285714</v>
      </c>
      <c r="I45" s="249">
        <f>('March 03'!$AA$47)</f>
        <v>9.741935483870968</v>
      </c>
      <c r="J45" s="249">
        <f>('April 03'!$AA$47)</f>
        <v>10.833333333333334</v>
      </c>
      <c r="K45" s="249">
        <f>('May 03'!$AA$47)</f>
        <v>13.483870967741936</v>
      </c>
      <c r="L45" s="249">
        <f>('June 03'!$AA$47)</f>
        <v>15.8</v>
      </c>
      <c r="M45" s="249">
        <f>('July 03'!$AA$47)</f>
        <v>18.225806451612904</v>
      </c>
      <c r="N45" s="249">
        <f>('August 03'!$AA$47)</f>
        <v>19.451612903225808</v>
      </c>
      <c r="O45" s="249">
        <f>('September 03'!$AA$47)</f>
        <v>19.233333333333334</v>
      </c>
      <c r="P45" s="249">
        <f>('October 03'!$AA$47)</f>
        <v>16.93548387096774</v>
      </c>
      <c r="Q45" s="249">
        <f>('November 03'!$AA$47)</f>
        <v>14.18</v>
      </c>
      <c r="R45" s="249">
        <f>('December 03'!$AA$47)</f>
        <v>11.516129032258064</v>
      </c>
      <c r="S45" s="244"/>
      <c r="T45" s="244" t="s">
        <v>150</v>
      </c>
      <c r="U45" s="249">
        <f>(IF(((SUM(G45:R45))=0)," ",(AVERAGE(G45:R45))))</f>
        <v>14.084918074756786</v>
      </c>
      <c r="V45" s="169"/>
      <c r="W45" s="164"/>
      <c r="X45" s="164"/>
      <c r="Y45" s="164" t="s">
        <v>164</v>
      </c>
      <c r="Z45" s="164"/>
      <c r="AA45" s="16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</row>
    <row r="46" spans="1:94" ht="18" customHeight="1" thickBot="1">
      <c r="A46" s="164"/>
      <c r="B46" s="164"/>
      <c r="C46" s="164"/>
      <c r="D46" s="164" t="s">
        <v>165</v>
      </c>
      <c r="E46" s="169"/>
      <c r="F46" s="169"/>
      <c r="G46" s="249">
        <f>('January 03'!$AA$46)</f>
        <v>8</v>
      </c>
      <c r="H46" s="249">
        <f>('February 03'!$AA$46)</f>
        <v>8</v>
      </c>
      <c r="I46" s="249">
        <f>('March 03'!$AA$46)</f>
        <v>8</v>
      </c>
      <c r="J46" s="292">
        <f>('April 03'!$AA$46)</f>
        <v>7</v>
      </c>
      <c r="K46" s="249">
        <f>('May 03'!$AA$46)</f>
        <v>12</v>
      </c>
      <c r="L46" s="249">
        <f>('June 03'!$AA$46)</f>
        <v>14</v>
      </c>
      <c r="M46" s="249">
        <f>('July 03'!$AA$46)</f>
        <v>17</v>
      </c>
      <c r="N46" s="249">
        <f>('August 03'!$AA$46)</f>
        <v>18</v>
      </c>
      <c r="O46" s="249">
        <f>('September 03'!$AA$46)</f>
        <v>18</v>
      </c>
      <c r="P46" s="249">
        <f>('October 03'!$AA$46)</f>
        <v>15</v>
      </c>
      <c r="Q46" s="249">
        <f>('November 03'!$AA$46)</f>
        <v>11.9</v>
      </c>
      <c r="R46" s="249">
        <f>('December 03'!$AA$46)</f>
        <v>8</v>
      </c>
      <c r="S46" s="244"/>
      <c r="T46" s="244" t="s">
        <v>150</v>
      </c>
      <c r="U46" s="249" t="s">
        <v>150</v>
      </c>
      <c r="V46" s="169"/>
      <c r="W46" s="164"/>
      <c r="X46" s="164"/>
      <c r="Y46" s="164" t="s">
        <v>166</v>
      </c>
      <c r="Z46" s="164"/>
      <c r="AA46" s="16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</row>
    <row r="47" spans="1:94" ht="18" customHeight="1">
      <c r="A47" s="164"/>
      <c r="B47" s="164"/>
      <c r="C47" s="164"/>
      <c r="D47" s="164"/>
      <c r="E47" s="169"/>
      <c r="F47" s="169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67"/>
      <c r="T47" s="167"/>
      <c r="U47" s="167"/>
      <c r="V47" s="169"/>
      <c r="W47" s="164"/>
      <c r="X47" s="164"/>
      <c r="Y47" s="164"/>
      <c r="Z47" s="164"/>
      <c r="AA47" s="16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</row>
    <row r="48" spans="1:94" ht="18" customHeight="1">
      <c r="A48" s="164"/>
      <c r="B48" s="164" t="s">
        <v>134</v>
      </c>
      <c r="C48" s="164"/>
      <c r="D48" s="164"/>
      <c r="E48" s="169"/>
      <c r="F48" s="169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67"/>
      <c r="T48" s="167"/>
      <c r="U48" s="167"/>
      <c r="V48" s="169"/>
      <c r="W48" s="164"/>
      <c r="X48" s="164"/>
      <c r="Y48" s="164"/>
      <c r="Z48" s="164"/>
      <c r="AA48" s="16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N48" s="4"/>
      <c r="BP48" s="4"/>
      <c r="BT48" s="4"/>
      <c r="BY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</row>
    <row r="49" spans="1:94" ht="18" customHeight="1">
      <c r="A49" s="164"/>
      <c r="B49" s="164"/>
      <c r="C49" s="164" t="s">
        <v>84</v>
      </c>
      <c r="D49" s="164" t="s">
        <v>162</v>
      </c>
      <c r="E49" s="169" t="s">
        <v>177</v>
      </c>
      <c r="F49" s="169"/>
      <c r="G49" s="250">
        <f>('January 03'!$AC$45)</f>
        <v>12</v>
      </c>
      <c r="H49" s="250">
        <f>('February 03'!$AC$45)</f>
        <v>17</v>
      </c>
      <c r="I49" s="250">
        <f>('March 03'!$AC$45)</f>
        <v>10</v>
      </c>
      <c r="J49" s="250">
        <f>('April 03'!$AC$45)</f>
        <v>17</v>
      </c>
      <c r="K49" s="250">
        <f>('May 03'!$AC$45)</f>
        <v>10</v>
      </c>
      <c r="L49" s="250">
        <f>('June 03'!$AC$45)</f>
        <v>11</v>
      </c>
      <c r="M49" s="250">
        <f>('July 03'!$AC$45)</f>
        <v>17</v>
      </c>
      <c r="N49" s="250">
        <f>('August 03'!$AC$45)</f>
        <v>14</v>
      </c>
      <c r="O49" s="250">
        <f>('September 03'!$AC$45)</f>
        <v>26</v>
      </c>
      <c r="P49" s="250">
        <f>('October 03'!$AC$45)</f>
        <v>21</v>
      </c>
      <c r="Q49" s="250">
        <f>('November 03'!$AC$45)</f>
        <v>8</v>
      </c>
      <c r="R49" s="250">
        <f>('December 03'!$AC$45)</f>
        <v>10</v>
      </c>
      <c r="S49" s="245"/>
      <c r="T49" s="245" t="s">
        <v>150</v>
      </c>
      <c r="U49" s="250" t="s">
        <v>150</v>
      </c>
      <c r="V49" s="169" t="s">
        <v>177</v>
      </c>
      <c r="W49" s="164"/>
      <c r="X49" s="164"/>
      <c r="Y49" s="164" t="s">
        <v>163</v>
      </c>
      <c r="Z49" s="164"/>
      <c r="AA49" s="16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N49" s="4"/>
      <c r="BP49" s="4"/>
      <c r="BT49" s="4"/>
      <c r="BY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ht="18" customHeight="1">
      <c r="A50" s="164"/>
      <c r="B50" s="166"/>
      <c r="C50" s="164"/>
      <c r="D50" s="164" t="s">
        <v>164</v>
      </c>
      <c r="E50" s="169"/>
      <c r="F50" s="169"/>
      <c r="G50" s="250">
        <f>('January 03'!$AC$47)</f>
        <v>5.661290322580645</v>
      </c>
      <c r="H50" s="250">
        <f>('February 03'!$AC$47)</f>
        <v>6.928571428571429</v>
      </c>
      <c r="I50" s="250">
        <f>('March 03'!$AC$47)</f>
        <v>5.451612903225806</v>
      </c>
      <c r="J50" s="250">
        <f>('April 03'!$AC$47)</f>
        <v>5.216666666666667</v>
      </c>
      <c r="K50" s="250">
        <f>('May 03'!$AC$47)</f>
        <v>6.467741935483871</v>
      </c>
      <c r="L50" s="250">
        <f>('June 03'!$AC$47)</f>
        <v>5.9</v>
      </c>
      <c r="M50" s="250">
        <f>('July 03'!$AC$47)</f>
        <v>7.548387096774194</v>
      </c>
      <c r="N50" s="250">
        <f>('August 03'!$AC$47)</f>
        <v>7.258064516129032</v>
      </c>
      <c r="O50" s="250">
        <f>('September 03'!$AC$47)</f>
        <v>9.583333333333334</v>
      </c>
      <c r="P50" s="250">
        <f>('October 03'!$AC$47)</f>
        <v>7.225806451612903</v>
      </c>
      <c r="Q50" s="250">
        <f>('November 03'!$AC$47)</f>
        <v>4.483333333333333</v>
      </c>
      <c r="R50" s="250">
        <f>('December 03'!$AC$47)</f>
        <v>4.064516129032258</v>
      </c>
      <c r="S50" s="245"/>
      <c r="T50" s="245" t="s">
        <v>150</v>
      </c>
      <c r="U50" s="250">
        <f>(IF(((SUM(G50:R50))=0)," ",(AVERAGE(G50:R50))))</f>
        <v>6.315777009728623</v>
      </c>
      <c r="V50" s="169"/>
      <c r="W50" s="164"/>
      <c r="X50" s="164"/>
      <c r="Y50" s="164" t="s">
        <v>164</v>
      </c>
      <c r="Z50" s="164"/>
      <c r="AA50" s="16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</row>
    <row r="51" spans="1:94" ht="18" customHeight="1">
      <c r="A51" s="164"/>
      <c r="B51" s="164"/>
      <c r="C51" s="164"/>
      <c r="D51" s="164" t="s">
        <v>165</v>
      </c>
      <c r="E51" s="169"/>
      <c r="F51" s="169"/>
      <c r="G51" s="250">
        <f>('January 03'!$AC$46)</f>
        <v>1.5</v>
      </c>
      <c r="H51" s="250">
        <f>('February 03'!$AC$46)</f>
        <v>3.5</v>
      </c>
      <c r="I51" s="250">
        <f>('March 03'!$AC$46)</f>
        <v>2.5</v>
      </c>
      <c r="J51" s="250">
        <f>('April 03'!$AC$46)</f>
        <v>2.5</v>
      </c>
      <c r="K51" s="250">
        <f>('May 03'!$AC$46)</f>
        <v>3</v>
      </c>
      <c r="L51" s="250">
        <f>('June 03'!$AC$46)</f>
        <v>3</v>
      </c>
      <c r="M51" s="250">
        <f>('July 03'!$AC$46)</f>
        <v>3</v>
      </c>
      <c r="N51" s="250">
        <f>('August 03'!$AC$46)</f>
        <v>3</v>
      </c>
      <c r="O51" s="250">
        <f>('September 03'!$AC$46)</f>
        <v>3.5</v>
      </c>
      <c r="P51" s="250">
        <f>('October 03'!$AC$46)</f>
        <v>3.5</v>
      </c>
      <c r="Q51" s="250">
        <f>('November 03'!$AC$46)</f>
        <v>1.5</v>
      </c>
      <c r="R51" s="250">
        <f>('December 03'!$AC$46)</f>
        <v>1</v>
      </c>
      <c r="S51" s="245"/>
      <c r="T51" s="245" t="s">
        <v>150</v>
      </c>
      <c r="U51" s="250" t="s">
        <v>150</v>
      </c>
      <c r="V51" s="169"/>
      <c r="W51" s="164"/>
      <c r="X51" s="164"/>
      <c r="Y51" s="164" t="s">
        <v>166</v>
      </c>
      <c r="Z51" s="164"/>
      <c r="AA51" s="16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</row>
    <row r="52" spans="1:94" ht="18" customHeight="1">
      <c r="A52" s="164"/>
      <c r="B52" s="164"/>
      <c r="C52" s="164"/>
      <c r="D52" s="164"/>
      <c r="E52" s="169"/>
      <c r="F52" s="169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167"/>
      <c r="T52" s="167"/>
      <c r="U52" s="167"/>
      <c r="V52" s="169"/>
      <c r="W52" s="164"/>
      <c r="X52" s="164"/>
      <c r="Y52" s="164"/>
      <c r="Z52" s="164"/>
      <c r="AA52" s="16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</row>
    <row r="53" spans="1:94" ht="18" customHeight="1">
      <c r="A53" s="164"/>
      <c r="B53" s="164"/>
      <c r="C53" s="164" t="s">
        <v>85</v>
      </c>
      <c r="D53" s="164" t="s">
        <v>162</v>
      </c>
      <c r="E53" s="169" t="s">
        <v>177</v>
      </c>
      <c r="F53" s="169"/>
      <c r="G53" s="252">
        <f>('January 03'!$AD$45)</f>
        <v>0.3</v>
      </c>
      <c r="H53" s="252">
        <f>('February 03'!$AD$45)</f>
        <v>0.5</v>
      </c>
      <c r="I53" s="252">
        <f>('March 03'!$AD$45)</f>
        <v>0.7</v>
      </c>
      <c r="J53" s="252">
        <f>('April 03'!$AD$45)</f>
        <v>1</v>
      </c>
      <c r="K53" s="252">
        <f>('May 03'!$AD$45)</f>
        <v>0.4</v>
      </c>
      <c r="L53" s="252">
        <f>('June 03'!$AD$45)</f>
        <v>0.5</v>
      </c>
      <c r="M53" s="252">
        <f>('July 03'!$AD$45)</f>
        <v>2.5</v>
      </c>
      <c r="N53" s="252">
        <f>('August 03'!$AD$45)</f>
        <v>1</v>
      </c>
      <c r="O53" s="252">
        <f>('September 03'!$AD$45)</f>
        <v>0.4</v>
      </c>
      <c r="P53" s="252">
        <f>('October 03'!$AD$45)</f>
        <v>0.3</v>
      </c>
      <c r="Q53" s="252">
        <f>('November 03'!$AD$45)</f>
        <v>0.3</v>
      </c>
      <c r="R53" s="252">
        <f>('December 03'!$AD$45)</f>
        <v>0.1</v>
      </c>
      <c r="S53" s="247"/>
      <c r="T53" s="247" t="s">
        <v>150</v>
      </c>
      <c r="U53" s="252" t="s">
        <v>150</v>
      </c>
      <c r="V53" s="169" t="s">
        <v>177</v>
      </c>
      <c r="W53" s="164"/>
      <c r="X53" s="164"/>
      <c r="Y53" s="164" t="s">
        <v>163</v>
      </c>
      <c r="Z53" s="164"/>
      <c r="AA53" s="16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N53" s="4"/>
      <c r="BP53" s="4"/>
      <c r="BT53" s="4"/>
      <c r="BY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</row>
    <row r="54" spans="1:94" ht="18" customHeight="1">
      <c r="A54" s="164"/>
      <c r="B54" s="164"/>
      <c r="C54" s="164"/>
      <c r="D54" s="164" t="s">
        <v>164</v>
      </c>
      <c r="E54" s="169"/>
      <c r="F54" s="169"/>
      <c r="G54" s="252">
        <f>('January 03'!$AD$47)</f>
        <v>0.013870967741935481</v>
      </c>
      <c r="H54" s="252">
        <f>('February 03'!$AD$47)</f>
        <v>0.03464285714285715</v>
      </c>
      <c r="I54" s="252">
        <f>('March 03'!$AD$47)</f>
        <v>0.10483870967741937</v>
      </c>
      <c r="J54" s="252">
        <f>('April 03'!$AD$47)</f>
        <v>0.1469999999999999</v>
      </c>
      <c r="K54" s="252">
        <f>('May 03'!$AD$47)</f>
        <v>0.08096774193548385</v>
      </c>
      <c r="L54" s="252">
        <f>('June 03'!$AD$47)</f>
        <v>0.047333333333333345</v>
      </c>
      <c r="M54" s="252">
        <f>('July 03'!$AD$47)</f>
        <v>0.13870967741935472</v>
      </c>
      <c r="N54" s="252">
        <f>('August 03'!$AD$47)</f>
        <v>0.06387096774193549</v>
      </c>
      <c r="O54" s="252">
        <f>('September 03'!$AD$47)</f>
        <v>0.04600000000000001</v>
      </c>
      <c r="P54" s="252">
        <f>('October 03'!$AD$47)</f>
        <v>0.04870967741935485</v>
      </c>
      <c r="Q54" s="252">
        <f>('November 03'!$AD$47)</f>
        <v>0.06166666666666668</v>
      </c>
      <c r="R54" s="252">
        <f>('December 03'!$AD$47)</f>
        <v>0.03096774193548387</v>
      </c>
      <c r="S54" s="247"/>
      <c r="T54" s="247" t="s">
        <v>150</v>
      </c>
      <c r="U54" s="252">
        <f>(IF(((SUM(G54:R54))=0)," ",(AVERAGE(G54:R54))))</f>
        <v>0.06821486175115206</v>
      </c>
      <c r="V54" s="169"/>
      <c r="W54" s="164"/>
      <c r="X54" s="164"/>
      <c r="Y54" s="164" t="s">
        <v>164</v>
      </c>
      <c r="Z54" s="164"/>
      <c r="AA54" s="16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N54" s="4"/>
      <c r="BP54" s="4"/>
      <c r="BT54" s="4"/>
      <c r="BY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</row>
    <row r="55" spans="1:94" ht="18" customHeight="1">
      <c r="A55" s="164"/>
      <c r="B55" s="164"/>
      <c r="C55" s="164"/>
      <c r="D55" s="164" t="s">
        <v>165</v>
      </c>
      <c r="E55" s="169"/>
      <c r="F55" s="169"/>
      <c r="G55" s="252">
        <f>('January 03'!$AD$46)</f>
        <v>0</v>
      </c>
      <c r="H55" s="252">
        <f>('February 03'!$AD$46)</f>
        <v>0</v>
      </c>
      <c r="I55" s="252">
        <f>('March 03'!$AD$46)</f>
        <v>0</v>
      </c>
      <c r="J55" s="252">
        <f>('April 03'!$AD$46)</f>
        <v>0</v>
      </c>
      <c r="K55" s="252">
        <f>('May 03'!$AD$46)</f>
        <v>0</v>
      </c>
      <c r="L55" s="252">
        <f>('June 03'!$AD$46)</f>
        <v>0.01</v>
      </c>
      <c r="M55" s="252">
        <f>('July 03'!$AD$46)</f>
        <v>0</v>
      </c>
      <c r="N55" s="252">
        <f>('August 03'!$AD$46)</f>
        <v>0</v>
      </c>
      <c r="O55" s="252">
        <f>('September 03'!$AD$46)</f>
        <v>0</v>
      </c>
      <c r="P55" s="252">
        <f>('October 03'!$AD$46)</f>
        <v>0</v>
      </c>
      <c r="Q55" s="252">
        <f>('November 03'!$AD$46)</f>
        <v>0.01</v>
      </c>
      <c r="R55" s="252">
        <f>('December 03'!$AD$46)</f>
        <v>0</v>
      </c>
      <c r="S55" s="247"/>
      <c r="T55" s="247" t="s">
        <v>150</v>
      </c>
      <c r="U55" s="252" t="s">
        <v>150</v>
      </c>
      <c r="V55" s="169"/>
      <c r="W55" s="164"/>
      <c r="X55" s="164"/>
      <c r="Y55" s="164" t="s">
        <v>166</v>
      </c>
      <c r="Z55" s="164"/>
      <c r="AA55" s="16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</row>
    <row r="56" spans="1:94" ht="18" customHeight="1">
      <c r="A56" s="164"/>
      <c r="B56" s="164"/>
      <c r="C56" s="164"/>
      <c r="D56" s="164"/>
      <c r="E56" s="169"/>
      <c r="F56" s="169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47"/>
      <c r="T56" s="247"/>
      <c r="U56" s="247"/>
      <c r="V56" s="169"/>
      <c r="W56" s="164"/>
      <c r="X56" s="164"/>
      <c r="Y56" s="164"/>
      <c r="Z56" s="164"/>
      <c r="AA56" s="16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</row>
    <row r="57" spans="1:94" ht="18" customHeight="1">
      <c r="A57" s="164"/>
      <c r="B57" s="164"/>
      <c r="C57" s="164" t="s">
        <v>86</v>
      </c>
      <c r="D57" s="164" t="s">
        <v>162</v>
      </c>
      <c r="E57" s="169" t="s">
        <v>177</v>
      </c>
      <c r="F57" s="169"/>
      <c r="G57" s="252">
        <f>('January 03'!$AE$45)</f>
        <v>0</v>
      </c>
      <c r="H57" s="252">
        <f>('February 03'!$AE$45)</f>
        <v>0.01</v>
      </c>
      <c r="I57" s="252">
        <f>('March 03'!$AE$45)</f>
        <v>0.1</v>
      </c>
      <c r="J57" s="252">
        <f>('April 03'!$AE$45)</f>
        <v>0.01</v>
      </c>
      <c r="K57" s="252">
        <f>('May 03'!$AE$45)</f>
        <v>0.01</v>
      </c>
      <c r="L57" s="252">
        <f>('June 03'!$AE$45)</f>
        <v>0.01</v>
      </c>
      <c r="M57" s="252">
        <f>('July 03'!$AE$45)</f>
        <v>0.01</v>
      </c>
      <c r="N57" s="252">
        <f>('August 03'!$AE$45)</f>
        <v>0.01</v>
      </c>
      <c r="O57" s="252">
        <f>('September 03'!$AE$45)</f>
        <v>0.01</v>
      </c>
      <c r="P57" s="252">
        <f>('October 03'!$AE$45)</f>
        <v>0.01</v>
      </c>
      <c r="Q57" s="252">
        <f>('November 03'!$AE$45)</f>
        <v>0.1</v>
      </c>
      <c r="R57" s="252">
        <f>('December 03'!$AE$45)</f>
        <v>0.01</v>
      </c>
      <c r="S57" s="247"/>
      <c r="T57" s="247" t="s">
        <v>150</v>
      </c>
      <c r="U57" s="252" t="s">
        <v>150</v>
      </c>
      <c r="V57" s="169" t="s">
        <v>177</v>
      </c>
      <c r="W57" s="164"/>
      <c r="X57" s="164"/>
      <c r="Y57" s="164" t="s">
        <v>163</v>
      </c>
      <c r="Z57" s="164"/>
      <c r="AA57" s="16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</row>
    <row r="58" spans="1:94" ht="18" customHeight="1">
      <c r="A58" s="164"/>
      <c r="B58" s="164"/>
      <c r="C58" s="164"/>
      <c r="D58" s="164" t="s">
        <v>164</v>
      </c>
      <c r="E58" s="169"/>
      <c r="F58" s="169"/>
      <c r="G58" s="252">
        <f>('January 03'!$AE$47)</f>
        <v>0</v>
      </c>
      <c r="H58" s="252">
        <f>('February 03'!$AE$47)</f>
        <v>0.0014285714285714286</v>
      </c>
      <c r="I58" s="252">
        <f>('March 03'!$AE$47)</f>
        <v>0.005161290322580646</v>
      </c>
      <c r="J58" s="252">
        <f>('April 03'!$AE$47)</f>
        <v>0.0013333333333333333</v>
      </c>
      <c r="K58" s="252">
        <f>('May 03'!$AE$47)</f>
        <v>0.0016129032258064516</v>
      </c>
      <c r="L58" s="252">
        <f>('June 03'!$AE$47)</f>
        <v>0.0003333333333333333</v>
      </c>
      <c r="M58" s="252">
        <f>('July 03'!$AE$47)</f>
        <v>0.0019354838709677422</v>
      </c>
      <c r="N58" s="252">
        <f>('August 03'!$AE$47)</f>
        <v>0.0016129032258064516</v>
      </c>
      <c r="O58" s="252">
        <f>('September 03'!$AE$47)</f>
        <v>0.0026666666666666666</v>
      </c>
      <c r="P58" s="252">
        <f>('October 03'!$AE$47)</f>
        <v>0.0025806451612903226</v>
      </c>
      <c r="Q58" s="252">
        <f>('November 03'!$AE$47)</f>
        <v>0.014666666666666668</v>
      </c>
      <c r="R58" s="252">
        <f>('December 03'!$AE$47)</f>
        <v>0.0016129032258064516</v>
      </c>
      <c r="S58" s="247"/>
      <c r="T58" s="247" t="s">
        <v>150</v>
      </c>
      <c r="U58" s="252">
        <f>(IF(((SUM(G58:R58))=0)," ",(AVERAGE(G58:R58))))</f>
        <v>0.0029120583717357914</v>
      </c>
      <c r="V58" s="169"/>
      <c r="W58" s="164"/>
      <c r="X58" s="164"/>
      <c r="Y58" s="164" t="s">
        <v>164</v>
      </c>
      <c r="Z58" s="164"/>
      <c r="AA58" s="16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</row>
    <row r="59" spans="1:94" ht="18" customHeight="1">
      <c r="A59" s="164"/>
      <c r="B59" s="164"/>
      <c r="C59" s="164"/>
      <c r="D59" s="164" t="s">
        <v>165</v>
      </c>
      <c r="E59" s="169"/>
      <c r="F59" s="169"/>
      <c r="G59" s="252">
        <f>('January 03'!$AE$46)</f>
        <v>0</v>
      </c>
      <c r="H59" s="252">
        <f>('February 03'!$AE$46)</f>
        <v>0</v>
      </c>
      <c r="I59" s="252">
        <f>('March 03'!$AE$46)</f>
        <v>0</v>
      </c>
      <c r="J59" s="252">
        <f>('April 03'!$AE$46)</f>
        <v>0</v>
      </c>
      <c r="K59" s="252">
        <f>('May 03'!$AE$46)</f>
        <v>0</v>
      </c>
      <c r="L59" s="252">
        <f>('June 03'!$AE$46)</f>
        <v>0</v>
      </c>
      <c r="M59" s="252">
        <f>('July 03'!$AE$46)</f>
        <v>0</v>
      </c>
      <c r="N59" s="252">
        <f>('August 03'!$AE$46)</f>
        <v>0</v>
      </c>
      <c r="O59" s="252">
        <f>('September 03'!$AE$46)</f>
        <v>0</v>
      </c>
      <c r="P59" s="252">
        <f>('October 03'!$AE$46)</f>
        <v>0</v>
      </c>
      <c r="Q59" s="252">
        <f>('November 03'!$AE$46)</f>
        <v>0</v>
      </c>
      <c r="R59" s="252">
        <f>('December 03'!$AE$46)</f>
        <v>0</v>
      </c>
      <c r="S59" s="247"/>
      <c r="T59" s="247" t="s">
        <v>150</v>
      </c>
      <c r="U59" s="252" t="s">
        <v>150</v>
      </c>
      <c r="V59" s="169"/>
      <c r="W59" s="164"/>
      <c r="X59" s="164"/>
      <c r="Y59" s="164" t="s">
        <v>166</v>
      </c>
      <c r="Z59" s="164"/>
      <c r="AA59" s="16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8" customHeight="1">
      <c r="A60" s="164"/>
      <c r="B60" s="164"/>
      <c r="C60" s="164"/>
      <c r="D60" s="164"/>
      <c r="E60" s="169"/>
      <c r="F60" s="169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67"/>
      <c r="T60" s="167"/>
      <c r="U60" s="167"/>
      <c r="V60" s="169"/>
      <c r="W60" s="164"/>
      <c r="X60" s="164"/>
      <c r="Y60" s="164"/>
      <c r="Z60" s="164"/>
      <c r="AA60" s="16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1:77" ht="15">
      <c r="A61" s="164" t="str">
        <f>(A1)</f>
        <v>BRUNSWICK SEWER DISTRICT</v>
      </c>
      <c r="B61" s="164"/>
      <c r="C61" s="164"/>
      <c r="D61" s="164"/>
      <c r="E61" s="164"/>
      <c r="F61" s="164"/>
      <c r="G61" s="175"/>
      <c r="H61" s="175"/>
      <c r="I61" s="174"/>
      <c r="J61" s="174"/>
      <c r="K61" s="174"/>
      <c r="L61" s="174" t="str">
        <f>(L1)</f>
        <v>State Discharge License Number W 002600-5L-C-R</v>
      </c>
      <c r="M61" s="175"/>
      <c r="N61" s="187"/>
      <c r="O61" s="187"/>
      <c r="P61" s="173"/>
      <c r="Q61" s="173"/>
      <c r="R61" s="173"/>
      <c r="S61" s="166"/>
      <c r="T61" s="311" t="str">
        <f>(T1)</f>
        <v>Gregory H. Thulen</v>
      </c>
      <c r="U61" s="311"/>
      <c r="V61" s="311"/>
      <c r="W61" s="164"/>
      <c r="X61" s="164"/>
      <c r="Y61" s="164"/>
      <c r="Z61" s="164"/>
      <c r="AA61" s="16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N61" s="4"/>
      <c r="BP61" s="4"/>
      <c r="BT61" s="4"/>
      <c r="BY61" s="4"/>
    </row>
    <row r="62" spans="1:77" ht="16.5">
      <c r="A62" s="164"/>
      <c r="B62" s="164"/>
      <c r="C62" s="164"/>
      <c r="D62" s="164"/>
      <c r="E62" s="164"/>
      <c r="F62" s="164"/>
      <c r="G62" s="175"/>
      <c r="H62" s="175"/>
      <c r="I62" s="175"/>
      <c r="J62" s="175"/>
      <c r="K62" s="175"/>
      <c r="L62" s="175"/>
      <c r="M62" s="175"/>
      <c r="N62" s="187"/>
      <c r="O62" s="187"/>
      <c r="P62" s="187"/>
      <c r="Q62" s="188"/>
      <c r="R62" s="187"/>
      <c r="S62" s="166"/>
      <c r="T62" s="166"/>
      <c r="U62" s="168"/>
      <c r="V62" s="166"/>
      <c r="W62" s="164"/>
      <c r="X62" s="164"/>
      <c r="Y62" s="164"/>
      <c r="Z62" s="164"/>
      <c r="AA62" s="16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N62" s="4"/>
      <c r="BP62" s="4"/>
      <c r="BT62" s="4"/>
      <c r="BY62" s="4"/>
    </row>
    <row r="63" spans="1:77" ht="15">
      <c r="A63" s="164" t="str">
        <f>(A3)</f>
        <v>Annual Report of Treatment Operations:  2003.</v>
      </c>
      <c r="B63" s="164"/>
      <c r="C63" s="164"/>
      <c r="D63" s="164"/>
      <c r="E63" s="164"/>
      <c r="F63" s="164"/>
      <c r="G63" s="175"/>
      <c r="H63" s="175"/>
      <c r="I63" s="174"/>
      <c r="J63" s="174"/>
      <c r="K63" s="174"/>
      <c r="L63" s="174" t="str">
        <f>(L3)</f>
        <v>N.P.D.E.S. Permit Number ME 0100102</v>
      </c>
      <c r="M63" s="175"/>
      <c r="N63" s="187"/>
      <c r="O63" s="187"/>
      <c r="P63" s="173"/>
      <c r="Q63" s="173"/>
      <c r="R63" s="173"/>
      <c r="S63" s="166"/>
      <c r="T63" s="311" t="str">
        <f>(T3)</f>
        <v>Treatment Operations Division Supervisor</v>
      </c>
      <c r="U63" s="311"/>
      <c r="V63" s="311"/>
      <c r="W63" s="164"/>
      <c r="X63" s="164"/>
      <c r="Y63" s="164"/>
      <c r="Z63" s="164"/>
      <c r="AA63" s="16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N63" s="4"/>
      <c r="BP63" s="4"/>
      <c r="BT63" s="4"/>
      <c r="BY63" s="4"/>
    </row>
    <row r="64" spans="1:53" ht="15">
      <c r="A64" s="164"/>
      <c r="B64" s="164"/>
      <c r="C64" s="164"/>
      <c r="D64" s="164"/>
      <c r="E64" s="164"/>
      <c r="F64" s="164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64"/>
      <c r="T64" s="164"/>
      <c r="U64" s="164"/>
      <c r="V64" s="167"/>
      <c r="W64" s="164"/>
      <c r="X64" s="164"/>
      <c r="Y64" s="164"/>
      <c r="Z64" s="164"/>
      <c r="AA64" s="16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6.5">
      <c r="A65" s="164" t="str">
        <f>(A5)</f>
        <v>file:</v>
      </c>
      <c r="B65" s="164"/>
      <c r="C65" s="164"/>
      <c r="D65" s="164"/>
      <c r="E65" s="164"/>
      <c r="F65" s="164"/>
      <c r="G65" s="175"/>
      <c r="H65" s="175"/>
      <c r="I65" s="175"/>
      <c r="J65" s="175"/>
      <c r="K65" s="175"/>
      <c r="L65" s="175"/>
      <c r="M65" s="188"/>
      <c r="N65" s="175"/>
      <c r="O65" s="175"/>
      <c r="P65" s="175"/>
      <c r="Q65" s="175"/>
      <c r="R65" s="175"/>
      <c r="S65" s="164"/>
      <c r="T65" s="164"/>
      <c r="U65" s="164"/>
      <c r="V65" s="169" t="s">
        <v>115</v>
      </c>
      <c r="W65" s="164"/>
      <c r="X65" s="164"/>
      <c r="Y65" s="164"/>
      <c r="Z65" s="164"/>
      <c r="AA65" s="16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6.5">
      <c r="A66" s="164"/>
      <c r="B66" s="164"/>
      <c r="C66" s="164"/>
      <c r="D66" s="164"/>
      <c r="E66" s="164"/>
      <c r="F66" s="164"/>
      <c r="G66" s="175"/>
      <c r="H66" s="175"/>
      <c r="I66" s="175"/>
      <c r="J66" s="175"/>
      <c r="K66" s="175"/>
      <c r="L66" s="175"/>
      <c r="M66" s="188"/>
      <c r="N66" s="175"/>
      <c r="O66" s="175"/>
      <c r="P66" s="175"/>
      <c r="Q66" s="175"/>
      <c r="R66" s="175"/>
      <c r="S66" s="164"/>
      <c r="T66" s="164"/>
      <c r="U66" s="164"/>
      <c r="V66" s="164"/>
      <c r="W66" s="164"/>
      <c r="X66" s="164"/>
      <c r="Y66" s="164"/>
      <c r="Z66" s="164"/>
      <c r="AA66" s="16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">
      <c r="A67" s="164"/>
      <c r="B67" s="164"/>
      <c r="C67" s="164"/>
      <c r="D67" s="164"/>
      <c r="E67" s="164"/>
      <c r="F67" s="164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64"/>
      <c r="T67" s="308" t="str">
        <f>(T7)</f>
        <v>A       N       N       U       A       L</v>
      </c>
      <c r="U67" s="309"/>
      <c r="V67" s="310"/>
      <c r="W67" s="164"/>
      <c r="X67" s="164"/>
      <c r="Y67" s="164"/>
      <c r="Z67" s="164"/>
      <c r="AA67" s="16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">
      <c r="A68" s="164"/>
      <c r="B68" s="170" t="str">
        <f>(B8)</f>
        <v>Parameter</v>
      </c>
      <c r="C68" s="170"/>
      <c r="D68" s="170" t="str">
        <f>(D8)</f>
        <v>Function</v>
      </c>
      <c r="E68" s="171" t="str">
        <f>(E8)</f>
        <v>Units</v>
      </c>
      <c r="F68" s="171"/>
      <c r="G68" s="172" t="str">
        <f aca="true" t="shared" si="0" ref="G68:R68">(G8)</f>
        <v>JANUARY</v>
      </c>
      <c r="H68" s="172" t="str">
        <f t="shared" si="0"/>
        <v>FEBRUARY</v>
      </c>
      <c r="I68" s="172" t="str">
        <f t="shared" si="0"/>
        <v>MARCH</v>
      </c>
      <c r="J68" s="172" t="str">
        <f t="shared" si="0"/>
        <v>APRIL</v>
      </c>
      <c r="K68" s="172" t="str">
        <f t="shared" si="0"/>
        <v>MAY</v>
      </c>
      <c r="L68" s="172" t="str">
        <f t="shared" si="0"/>
        <v>JUNE</v>
      </c>
      <c r="M68" s="172" t="str">
        <f t="shared" si="0"/>
        <v>JULY</v>
      </c>
      <c r="N68" s="172" t="str">
        <f t="shared" si="0"/>
        <v>AUGUST</v>
      </c>
      <c r="O68" s="172" t="str">
        <f t="shared" si="0"/>
        <v>SEPTEMBER</v>
      </c>
      <c r="P68" s="172" t="str">
        <f t="shared" si="0"/>
        <v>OCTOBER</v>
      </c>
      <c r="Q68" s="172" t="str">
        <f t="shared" si="0"/>
        <v>NOVEMBER</v>
      </c>
      <c r="R68" s="172" t="str">
        <f t="shared" si="0"/>
        <v>DECEMBER</v>
      </c>
      <c r="S68" s="171"/>
      <c r="T68" s="171" t="str">
        <f>(T8)</f>
        <v>Total</v>
      </c>
      <c r="U68" s="171" t="str">
        <f>(U8)</f>
        <v>Average</v>
      </c>
      <c r="V68" s="171" t="str">
        <f>(V8)</f>
        <v>Units</v>
      </c>
      <c r="W68" s="164"/>
      <c r="X68" s="164"/>
      <c r="Y68" s="164"/>
      <c r="Z68" s="164"/>
      <c r="AA68" s="16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">
      <c r="A69" s="164"/>
      <c r="B69" s="164"/>
      <c r="C69" s="164"/>
      <c r="D69" s="164"/>
      <c r="E69" s="167"/>
      <c r="F69" s="167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67"/>
      <c r="T69" s="167"/>
      <c r="U69" s="167"/>
      <c r="V69" s="167"/>
      <c r="W69" s="164"/>
      <c r="X69" s="164"/>
      <c r="Y69" s="164"/>
      <c r="Z69" s="164"/>
      <c r="AA69" s="16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thickBot="1">
      <c r="A70" s="164"/>
      <c r="B70" s="164" t="s">
        <v>16</v>
      </c>
      <c r="C70" s="164"/>
      <c r="D70" s="164"/>
      <c r="E70" s="169"/>
      <c r="F70" s="16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67"/>
      <c r="T70" s="167"/>
      <c r="U70" s="167"/>
      <c r="V70" s="169"/>
      <c r="W70" s="164"/>
      <c r="X70" s="164"/>
      <c r="Y70" s="164"/>
      <c r="Z70" s="164"/>
      <c r="AA70" s="16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thickBot="1">
      <c r="A71" s="164"/>
      <c r="B71" s="164"/>
      <c r="C71" s="164" t="s">
        <v>84</v>
      </c>
      <c r="D71" s="164" t="s">
        <v>162</v>
      </c>
      <c r="E71" s="169" t="s">
        <v>178</v>
      </c>
      <c r="F71" s="169"/>
      <c r="G71" s="249">
        <f>('January 03'!$AI$45)</f>
        <v>308</v>
      </c>
      <c r="H71" s="249">
        <f>('February 03'!$AI$45)</f>
        <v>293</v>
      </c>
      <c r="I71" s="249">
        <f>('March 03'!$AI$45)</f>
        <v>287</v>
      </c>
      <c r="J71" s="249">
        <f>('April 03'!$AI$45)</f>
        <v>356</v>
      </c>
      <c r="K71" s="249">
        <f>('May 03'!$AI$45)</f>
        <v>345</v>
      </c>
      <c r="L71" s="249">
        <f>('June 03'!$AI$45)</f>
        <v>336</v>
      </c>
      <c r="M71" s="249">
        <f>('July 03'!$AI$45)</f>
        <v>361</v>
      </c>
      <c r="N71" s="292">
        <f>('August 03'!$AI$45)</f>
        <v>364</v>
      </c>
      <c r="O71" s="249">
        <f>('September 03'!$AI$45)</f>
        <v>420</v>
      </c>
      <c r="P71" s="249">
        <f>('October 03'!$AI$45)</f>
        <v>363</v>
      </c>
      <c r="Q71" s="249">
        <f>('November 03'!$AI$45)</f>
        <v>269</v>
      </c>
      <c r="R71" s="249">
        <f>('December 03'!$AI$45)</f>
        <v>401</v>
      </c>
      <c r="S71" s="167"/>
      <c r="T71" s="244" t="s">
        <v>150</v>
      </c>
      <c r="U71" s="249" t="s">
        <v>150</v>
      </c>
      <c r="V71" s="169" t="s">
        <v>178</v>
      </c>
      <c r="W71" s="164"/>
      <c r="X71" s="164"/>
      <c r="Y71" s="164" t="s">
        <v>163</v>
      </c>
      <c r="Z71" s="164"/>
      <c r="AA71" s="16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thickBot="1">
      <c r="A72" s="164"/>
      <c r="B72" s="164"/>
      <c r="C72" s="164"/>
      <c r="D72" s="164" t="s">
        <v>164</v>
      </c>
      <c r="E72" s="169"/>
      <c r="F72" s="169"/>
      <c r="G72" s="249">
        <f>('January 03'!$AI$47)</f>
        <v>243.42857142857142</v>
      </c>
      <c r="H72" s="249">
        <f>('February 03'!$AI$47)</f>
        <v>252.16666666666666</v>
      </c>
      <c r="I72" s="249">
        <f>('March 03'!$AI$47)</f>
        <v>203.5</v>
      </c>
      <c r="J72" s="249">
        <f>('April 03'!$AI$47)</f>
        <v>226.30769230769232</v>
      </c>
      <c r="K72" s="249">
        <f>('May 03'!$AI$47)</f>
        <v>253</v>
      </c>
      <c r="L72" s="249">
        <f>('June 03'!$AI$47)</f>
        <v>260.8333333333333</v>
      </c>
      <c r="M72" s="249">
        <f>('July 03'!$AI$47)</f>
        <v>271.64285714285717</v>
      </c>
      <c r="N72" s="249">
        <f>('August 03'!$AI$47)</f>
        <v>315.61538461538464</v>
      </c>
      <c r="O72" s="249">
        <f>('September 03'!$AI$47)</f>
        <v>332.9166666666667</v>
      </c>
      <c r="P72" s="249">
        <f>('October 03'!$AI$47)</f>
        <v>277.8</v>
      </c>
      <c r="Q72" s="249">
        <f>('November 03'!$AI$47)</f>
        <v>229.91666666666666</v>
      </c>
      <c r="R72" s="249">
        <f>('December 03'!$AI$47)</f>
        <v>211.28571428571428</v>
      </c>
      <c r="S72" s="167"/>
      <c r="T72" s="244" t="s">
        <v>150</v>
      </c>
      <c r="U72" s="295">
        <f>(IF(((SUM(G72:R72))=0)," ",(AVERAGE(G72:R72))))</f>
        <v>256.53446275946277</v>
      </c>
      <c r="V72" s="169"/>
      <c r="W72" s="164"/>
      <c r="X72" s="164"/>
      <c r="Y72" s="164" t="s">
        <v>164</v>
      </c>
      <c r="Z72" s="164"/>
      <c r="AA72" s="16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thickBot="1">
      <c r="A73" s="164"/>
      <c r="B73" s="164"/>
      <c r="C73" s="164"/>
      <c r="D73" s="164" t="s">
        <v>165</v>
      </c>
      <c r="E73" s="169"/>
      <c r="F73" s="169"/>
      <c r="G73" s="249">
        <f>('January 03'!$AI$46)</f>
        <v>143</v>
      </c>
      <c r="H73" s="249">
        <f>('February 03'!$AI$46)</f>
        <v>218</v>
      </c>
      <c r="I73" s="292">
        <f>('March 03'!$AI$46)</f>
        <v>113</v>
      </c>
      <c r="J73" s="249">
        <f>('April 03'!$AI$46)</f>
        <v>147</v>
      </c>
      <c r="K73" s="249">
        <f>('May 03'!$AI$46)</f>
        <v>197</v>
      </c>
      <c r="L73" s="249">
        <f>('June 03'!$AI$46)</f>
        <v>154</v>
      </c>
      <c r="M73" s="249">
        <f>('July 03'!$AI$46)</f>
        <v>223</v>
      </c>
      <c r="N73" s="249">
        <f>('August 03'!$AI$46)</f>
        <v>268</v>
      </c>
      <c r="O73" s="249">
        <f>('September 03'!$AI$46)</f>
        <v>243</v>
      </c>
      <c r="P73" s="249">
        <f>('October 03'!$AI$46)</f>
        <v>146</v>
      </c>
      <c r="Q73" s="249">
        <f>('November 03'!$AI$46)</f>
        <v>171</v>
      </c>
      <c r="R73" s="249">
        <f>('December 03'!$AI$46)</f>
        <v>128</v>
      </c>
      <c r="S73" s="167"/>
      <c r="T73" s="244" t="s">
        <v>150</v>
      </c>
      <c r="U73" s="249" t="s">
        <v>150</v>
      </c>
      <c r="V73" s="169"/>
      <c r="W73" s="164"/>
      <c r="X73" s="164"/>
      <c r="Y73" s="164" t="s">
        <v>166</v>
      </c>
      <c r="Z73" s="164"/>
      <c r="AA73" s="16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>
      <c r="A74" s="164"/>
      <c r="B74" s="164"/>
      <c r="C74" s="164"/>
      <c r="D74" s="164"/>
      <c r="E74" s="169"/>
      <c r="F74" s="169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67"/>
      <c r="T74" s="244"/>
      <c r="U74" s="244"/>
      <c r="V74" s="169"/>
      <c r="W74" s="164"/>
      <c r="X74" s="164"/>
      <c r="Y74" s="164"/>
      <c r="Z74" s="164"/>
      <c r="AA74" s="16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>
      <c r="A75" s="164"/>
      <c r="B75" s="164"/>
      <c r="C75" s="164" t="s">
        <v>84</v>
      </c>
      <c r="D75" s="164" t="s">
        <v>162</v>
      </c>
      <c r="E75" s="169" t="s">
        <v>174</v>
      </c>
      <c r="F75" s="169"/>
      <c r="G75" s="249">
        <f>('January 03'!$AJ$45)</f>
        <v>5327.525279999999</v>
      </c>
      <c r="H75" s="249">
        <f>('February 03'!$AJ$45)</f>
        <v>5285.550059999999</v>
      </c>
      <c r="I75" s="249">
        <f>('March 03'!$AJ$45)</f>
        <v>6813.04608</v>
      </c>
      <c r="J75" s="249">
        <f>('April 03'!$AJ$45)</f>
        <v>9385.13544</v>
      </c>
      <c r="K75" s="249">
        <f>('May 03'!$AJ$45)</f>
        <v>7529.8940999999995</v>
      </c>
      <c r="L75" s="249">
        <f>('June 03'!$AJ$45)</f>
        <v>6879.03216</v>
      </c>
      <c r="M75" s="249">
        <f>('July 03'!$AJ$45)</f>
        <v>6409.86546</v>
      </c>
      <c r="N75" s="249">
        <f>('August 03'!$AJ$45)</f>
        <v>5931.87504</v>
      </c>
      <c r="O75" s="249">
        <f>('September 03'!$AJ$45)</f>
        <v>6806.57424</v>
      </c>
      <c r="P75" s="249">
        <f>('October 03'!$AJ$45)</f>
        <v>6723.899820000001</v>
      </c>
      <c r="Q75" s="249">
        <f>('November 03'!$AJ$45)</f>
        <v>6097.849380000001</v>
      </c>
      <c r="R75" s="249">
        <f>('December 03'!$AJ$45)</f>
        <v>10614.935159999999</v>
      </c>
      <c r="S75" s="167"/>
      <c r="T75" s="244" t="s">
        <v>150</v>
      </c>
      <c r="U75" s="249" t="s">
        <v>150</v>
      </c>
      <c r="V75" s="169" t="s">
        <v>174</v>
      </c>
      <c r="W75" s="164"/>
      <c r="X75" s="164"/>
      <c r="Y75" s="164" t="s">
        <v>163</v>
      </c>
      <c r="Z75" s="164"/>
      <c r="AA75" s="16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>
      <c r="A76" s="164"/>
      <c r="B76" s="164"/>
      <c r="C76" s="164"/>
      <c r="D76" s="164" t="s">
        <v>164</v>
      </c>
      <c r="E76" s="169"/>
      <c r="F76" s="169"/>
      <c r="G76" s="249">
        <f>('January 03'!$AJ$47)</f>
        <v>4416.657287142857</v>
      </c>
      <c r="H76" s="249">
        <f>('February 03'!$AJ$47)</f>
        <v>4422.445545</v>
      </c>
      <c r="I76" s="249">
        <f>('March 03'!$AJ$47)</f>
        <v>4599.738655</v>
      </c>
      <c r="J76" s="249">
        <f>('April 03'!$AJ$47)</f>
        <v>5901.89658923077</v>
      </c>
      <c r="K76" s="249">
        <f>('May 03'!$AJ$47)</f>
        <v>5670.355093846154</v>
      </c>
      <c r="L76" s="249">
        <f>('June 03'!$AJ$47)</f>
        <v>5431.81837</v>
      </c>
      <c r="M76" s="249">
        <f>('July 03'!$AJ$47)</f>
        <v>4925.156022857142</v>
      </c>
      <c r="N76" s="249">
        <f>('August 03'!$AJ$47)</f>
        <v>5053.784667692306</v>
      </c>
      <c r="O76" s="249">
        <f>('September 03'!$AJ$47)</f>
        <v>5669.607755</v>
      </c>
      <c r="P76" s="249">
        <f>('October 03'!$AJ$47)</f>
        <v>5847.222927999999</v>
      </c>
      <c r="Q76" s="249">
        <f>('November 03'!$AJ$47)</f>
        <v>5636.352005000001</v>
      </c>
      <c r="R76" s="249">
        <f>('December 03'!$AJ$47)</f>
        <v>5516.946934285714</v>
      </c>
      <c r="S76" s="167"/>
      <c r="T76" s="244" t="s">
        <v>150</v>
      </c>
      <c r="U76" s="249">
        <f>(IF(((SUM(G76:R76))=0)," ",(AVERAGE(G76:R76))))</f>
        <v>5257.665154421245</v>
      </c>
      <c r="V76" s="169"/>
      <c r="W76" s="164"/>
      <c r="X76" s="164"/>
      <c r="Y76" s="164" t="s">
        <v>164</v>
      </c>
      <c r="Z76" s="164"/>
      <c r="AA76" s="16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>
      <c r="A77" s="164"/>
      <c r="B77" s="164"/>
      <c r="C77" s="164"/>
      <c r="D77" s="164" t="s">
        <v>165</v>
      </c>
      <c r="E77" s="169"/>
      <c r="F77" s="169"/>
      <c r="G77" s="249">
        <f>('January 03'!$AJ$46)</f>
        <v>2983.9352399999993</v>
      </c>
      <c r="H77" s="249">
        <f>('February 03'!$AJ$46)</f>
        <v>3730.78224</v>
      </c>
      <c r="I77" s="249">
        <f>('March 03'!$AJ$46)</f>
        <v>3047.63616</v>
      </c>
      <c r="J77" s="249">
        <f>('April 03'!$AJ$46)</f>
        <v>4757.1359999999995</v>
      </c>
      <c r="K77" s="249">
        <f>('May 03'!$AJ$46)</f>
        <v>4550.43744</v>
      </c>
      <c r="L77" s="249">
        <f>('June 03'!$AJ$46)</f>
        <v>3158.2412400000003</v>
      </c>
      <c r="M77" s="249">
        <f>('July 03'!$AJ$46)</f>
        <v>4244.10924</v>
      </c>
      <c r="N77" s="249">
        <f>('August 03'!$AJ$46)</f>
        <v>4358.484</v>
      </c>
      <c r="O77" s="249">
        <f>('September 03'!$AJ$46)</f>
        <v>3820.1787</v>
      </c>
      <c r="P77" s="249">
        <f>('October 03'!$AJ$46)</f>
        <v>3915.2630400000003</v>
      </c>
      <c r="Q77" s="249">
        <f>('November 03'!$AJ$46)</f>
        <v>4723.37568</v>
      </c>
      <c r="R77" s="249">
        <f>('December 03'!$AJ$46)</f>
        <v>3976.3785599999997</v>
      </c>
      <c r="S77" s="167"/>
      <c r="T77" s="244" t="s">
        <v>150</v>
      </c>
      <c r="U77" s="249" t="s">
        <v>150</v>
      </c>
      <c r="V77" s="169"/>
      <c r="W77" s="164"/>
      <c r="X77" s="164"/>
      <c r="Y77" s="164" t="s">
        <v>166</v>
      </c>
      <c r="Z77" s="164"/>
      <c r="AA77" s="16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>
      <c r="A78" s="164"/>
      <c r="B78" s="164"/>
      <c r="C78" s="164"/>
      <c r="D78" s="164"/>
      <c r="E78" s="169"/>
      <c r="F78" s="169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167"/>
      <c r="T78" s="244"/>
      <c r="U78" s="244"/>
      <c r="V78" s="169"/>
      <c r="W78" s="164"/>
      <c r="X78" s="164"/>
      <c r="Y78" s="164"/>
      <c r="Z78" s="164"/>
      <c r="AA78" s="16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>
      <c r="A79" s="164"/>
      <c r="B79" s="164"/>
      <c r="C79" s="164" t="s">
        <v>85</v>
      </c>
      <c r="D79" s="164" t="s">
        <v>162</v>
      </c>
      <c r="E79" s="169" t="s">
        <v>178</v>
      </c>
      <c r="F79" s="169"/>
      <c r="G79" s="249">
        <f>('January 03'!$AK$45)</f>
        <v>179</v>
      </c>
      <c r="H79" s="249">
        <f>('February 03'!$AK$45)</f>
        <v>201</v>
      </c>
      <c r="I79" s="249">
        <f>('March 03'!$AK$45)</f>
        <v>175</v>
      </c>
      <c r="J79" s="249">
        <f>('April 03'!$AK$45)</f>
        <v>163</v>
      </c>
      <c r="K79" s="249">
        <f>('May 03'!$AK$45)</f>
        <v>159</v>
      </c>
      <c r="L79" s="249">
        <f>('June 03'!$AK$45)</f>
        <v>186</v>
      </c>
      <c r="M79" s="249">
        <f>('July 03'!$AK$45)</f>
        <v>181</v>
      </c>
      <c r="N79" s="249">
        <f>('August 03'!$AK$45)</f>
        <v>228</v>
      </c>
      <c r="O79" s="249">
        <f>('September 03'!$AK$45)</f>
        <v>224</v>
      </c>
      <c r="P79" s="249">
        <f>('October 03'!$AK$45)</f>
        <v>205</v>
      </c>
      <c r="Q79" s="249">
        <f>('November 03'!$AK$45)</f>
        <v>161</v>
      </c>
      <c r="R79" s="249">
        <f>('December 03'!$AK$45)</f>
        <v>200</v>
      </c>
      <c r="S79" s="167"/>
      <c r="T79" s="244" t="s">
        <v>150</v>
      </c>
      <c r="U79" s="249" t="s">
        <v>150</v>
      </c>
      <c r="V79" s="169" t="s">
        <v>178</v>
      </c>
      <c r="W79" s="164"/>
      <c r="X79" s="164"/>
      <c r="Y79" s="164" t="s">
        <v>163</v>
      </c>
      <c r="Z79" s="164"/>
      <c r="AA79" s="16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>
      <c r="A80" s="164"/>
      <c r="B80" s="164"/>
      <c r="C80" s="164"/>
      <c r="D80" s="164" t="s">
        <v>164</v>
      </c>
      <c r="E80" s="169"/>
      <c r="F80" s="169"/>
      <c r="G80" s="249">
        <f>('January 03'!$AK$47)</f>
        <v>169.6</v>
      </c>
      <c r="H80" s="249">
        <f>('February 03'!$AK$47)</f>
        <v>194.5</v>
      </c>
      <c r="I80" s="249">
        <f>('March 03'!$AK$47)</f>
        <v>140.75</v>
      </c>
      <c r="J80" s="249">
        <f>('April 03'!$AK$47)</f>
        <v>141</v>
      </c>
      <c r="K80" s="249">
        <f>('May 03'!$AK$47)</f>
        <v>146</v>
      </c>
      <c r="L80" s="249">
        <f>('June 03'!$AK$47)</f>
        <v>173.5</v>
      </c>
      <c r="M80" s="249">
        <f>('July 03'!$AK$47)</f>
        <v>159.5</v>
      </c>
      <c r="N80" s="249">
        <f>('August 03'!$AK$47)</f>
        <v>177.6</v>
      </c>
      <c r="O80" s="249">
        <f>('September 03'!$AK$47)</f>
        <v>211</v>
      </c>
      <c r="P80" s="249">
        <f>('October 03'!$AK$47)</f>
        <v>145.6</v>
      </c>
      <c r="Q80" s="249">
        <f>('November 03'!$AK$47)</f>
        <v>150</v>
      </c>
      <c r="R80" s="249">
        <f>('December 03'!$AK$47)</f>
        <v>139.4</v>
      </c>
      <c r="S80" s="167"/>
      <c r="T80" s="244" t="s">
        <v>150</v>
      </c>
      <c r="U80" s="249">
        <f>(IF(((SUM(G80:R80))=0)," ",(AVERAGE(G80:R80))))</f>
        <v>162.3708333333333</v>
      </c>
      <c r="V80" s="169"/>
      <c r="W80" s="164"/>
      <c r="X80" s="164"/>
      <c r="Y80" s="164" t="s">
        <v>164</v>
      </c>
      <c r="Z80" s="164"/>
      <c r="AA80" s="16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>
      <c r="A81" s="164"/>
      <c r="B81" s="164"/>
      <c r="C81" s="164"/>
      <c r="D81" s="164" t="s">
        <v>165</v>
      </c>
      <c r="E81" s="169"/>
      <c r="F81" s="169"/>
      <c r="G81" s="249">
        <f>('January 03'!$AK$46)</f>
        <v>161</v>
      </c>
      <c r="H81" s="249">
        <f>('February 03'!$AK$46)</f>
        <v>188</v>
      </c>
      <c r="I81" s="249">
        <f>('March 03'!$AK$46)</f>
        <v>101</v>
      </c>
      <c r="J81" s="249">
        <f>('April 03'!$AK$46)</f>
        <v>106</v>
      </c>
      <c r="K81" s="249">
        <f>('May 03'!$AK$46)</f>
        <v>123</v>
      </c>
      <c r="L81" s="249">
        <f>('June 03'!$AK$46)</f>
        <v>153</v>
      </c>
      <c r="M81" s="249">
        <f>('July 03'!$AK$46)</f>
        <v>123</v>
      </c>
      <c r="N81" s="249">
        <f>('August 03'!$AK$46)</f>
        <v>137</v>
      </c>
      <c r="O81" s="249">
        <f>('September 03'!$AK$46)</f>
        <v>198</v>
      </c>
      <c r="P81" s="249">
        <f>('October 03'!$AK$46)</f>
        <v>21</v>
      </c>
      <c r="Q81" s="249">
        <f>('November 03'!$AK$46)</f>
        <v>144</v>
      </c>
      <c r="R81" s="249">
        <f>('December 03'!$AK$46)</f>
        <v>92</v>
      </c>
      <c r="S81" s="167"/>
      <c r="T81" s="244" t="s">
        <v>150</v>
      </c>
      <c r="U81" s="249" t="s">
        <v>150</v>
      </c>
      <c r="V81" s="169"/>
      <c r="W81" s="164"/>
      <c r="X81" s="164"/>
      <c r="Y81" s="164" t="s">
        <v>166</v>
      </c>
      <c r="Z81" s="164"/>
      <c r="AA81" s="16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>
      <c r="A82" s="164"/>
      <c r="B82" s="164"/>
      <c r="C82" s="164"/>
      <c r="D82" s="164"/>
      <c r="E82" s="169"/>
      <c r="F82" s="169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167"/>
      <c r="T82" s="244"/>
      <c r="U82" s="244"/>
      <c r="V82" s="169"/>
      <c r="W82" s="164"/>
      <c r="X82" s="164"/>
      <c r="Y82" s="164"/>
      <c r="Z82" s="164"/>
      <c r="AA82" s="16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>
      <c r="A83" s="164"/>
      <c r="B83" s="164"/>
      <c r="C83" s="164" t="s">
        <v>85</v>
      </c>
      <c r="D83" s="164" t="s">
        <v>162</v>
      </c>
      <c r="E83" s="169" t="s">
        <v>174</v>
      </c>
      <c r="F83" s="169"/>
      <c r="G83" s="249">
        <f>('January 03'!$AL$45)</f>
        <v>3261.8991</v>
      </c>
      <c r="H83" s="249">
        <f>('February 03'!$AL$45)</f>
        <v>3426.43896</v>
      </c>
      <c r="I83" s="249">
        <f>('March 03'!$AL$45)</f>
        <v>3407.9325</v>
      </c>
      <c r="J83" s="249">
        <f>('April 03'!$AL$45)</f>
        <v>4074.19008</v>
      </c>
      <c r="K83" s="249">
        <f>('May 03'!$AL$45)</f>
        <v>3786.72696</v>
      </c>
      <c r="L83" s="249">
        <f>('June 03'!$AL$45)</f>
        <v>3902.91984</v>
      </c>
      <c r="M83" s="249">
        <f>('July 03'!$AL$45)</f>
        <v>3041.7231</v>
      </c>
      <c r="N83" s="249">
        <f>('August 03'!$AL$45)</f>
        <v>3333.3645599999995</v>
      </c>
      <c r="O83" s="249">
        <f>('September 03'!$AL$45)</f>
        <v>4014.35892</v>
      </c>
      <c r="P83" s="249">
        <f>('October 03'!$AL$45)</f>
        <v>3826.809</v>
      </c>
      <c r="Q83" s="249">
        <f>('November 03'!$AL$45)</f>
        <v>3993.1086</v>
      </c>
      <c r="R83" s="249">
        <f>('December 03'!$AL$45)</f>
        <v>5294.232</v>
      </c>
      <c r="S83" s="167"/>
      <c r="T83" s="244" t="s">
        <v>150</v>
      </c>
      <c r="U83" s="249" t="s">
        <v>150</v>
      </c>
      <c r="V83" s="169" t="s">
        <v>174</v>
      </c>
      <c r="W83" s="164"/>
      <c r="X83" s="164"/>
      <c r="Y83" s="164" t="s">
        <v>163</v>
      </c>
      <c r="Z83" s="164"/>
      <c r="AA83" s="16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>
      <c r="A84" s="164"/>
      <c r="B84" s="164"/>
      <c r="C84" s="164"/>
      <c r="D84" s="164" t="s">
        <v>164</v>
      </c>
      <c r="E84" s="169"/>
      <c r="F84" s="169"/>
      <c r="G84" s="249">
        <f>('January 03'!$AL$47)</f>
        <v>3083.313012</v>
      </c>
      <c r="H84" s="249">
        <f>('February 03'!$AL$47)</f>
        <v>3345.4242</v>
      </c>
      <c r="I84" s="249">
        <f>('March 03'!$AL$47)</f>
        <v>3192.66042</v>
      </c>
      <c r="J84" s="249">
        <f>('April 03'!$AL$47)</f>
        <v>3640.149375</v>
      </c>
      <c r="K84" s="249">
        <f>('May 03'!$AL$47)</f>
        <v>3306.2528880000004</v>
      </c>
      <c r="L84" s="249">
        <f>('June 03'!$AL$47)</f>
        <v>3595.976565</v>
      </c>
      <c r="M84" s="249">
        <f>('July 03'!$AL$47)</f>
        <v>2832.216045</v>
      </c>
      <c r="N84" s="249">
        <f>('August 03'!$AL$47)</f>
        <v>2806.661868</v>
      </c>
      <c r="O84" s="249">
        <f>('September 03'!$AL$47)</f>
        <v>3627.12855</v>
      </c>
      <c r="P84" s="249">
        <f>('October 03'!$AL$47)</f>
        <v>2989.1677560000003</v>
      </c>
      <c r="Q84" s="249">
        <f>('November 03'!$AL$47)</f>
        <v>3851.1590199999996</v>
      </c>
      <c r="R84" s="249">
        <f>('December 03'!$AL$47)</f>
        <v>3816.715932</v>
      </c>
      <c r="S84" s="167"/>
      <c r="T84" s="244" t="s">
        <v>150</v>
      </c>
      <c r="U84" s="249">
        <f>(IF(((SUM(G84:R84))=0)," ",(AVERAGE(G84:R84))))</f>
        <v>3340.5688025833333</v>
      </c>
      <c r="V84" s="169"/>
      <c r="W84" s="164"/>
      <c r="X84" s="164"/>
      <c r="Y84" s="164" t="s">
        <v>164</v>
      </c>
      <c r="Z84" s="164"/>
      <c r="AA84" s="16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>
      <c r="A85" s="164"/>
      <c r="B85" s="164"/>
      <c r="C85" s="164"/>
      <c r="D85" s="164" t="s">
        <v>165</v>
      </c>
      <c r="E85" s="169"/>
      <c r="F85" s="169"/>
      <c r="G85" s="249">
        <f>('January 03'!$AL$46)</f>
        <v>2908.37484</v>
      </c>
      <c r="H85" s="249">
        <f>('February 03'!$AL$46)</f>
        <v>3264.40944</v>
      </c>
      <c r="I85" s="249">
        <f>('March 03'!$AL$46)</f>
        <v>3049.3125</v>
      </c>
      <c r="J85" s="249">
        <f>('April 03'!$AL$46)</f>
        <v>2794.45044</v>
      </c>
      <c r="K85" s="249">
        <f>('May 03'!$AL$46)</f>
        <v>2775.8689200000003</v>
      </c>
      <c r="L85" s="249">
        <f>('June 03'!$AL$46)</f>
        <v>2998.647</v>
      </c>
      <c r="M85" s="249">
        <f>('July 03'!$AL$46)</f>
        <v>2433.24504</v>
      </c>
      <c r="N85" s="249">
        <f>('August 03'!$AL$46)</f>
        <v>2310.2967599999997</v>
      </c>
      <c r="O85" s="249">
        <f>('September 03'!$AL$46)</f>
        <v>3222.08394</v>
      </c>
      <c r="P85" s="249">
        <f>('October 03'!$AL$46)</f>
        <v>600.02964</v>
      </c>
      <c r="Q85" s="249">
        <f>('November 03'!$AL$46)</f>
        <v>3769.8134399999994</v>
      </c>
      <c r="R85" s="249">
        <f>('December 03'!$AL$46)</f>
        <v>3181.0678199999998</v>
      </c>
      <c r="S85" s="167"/>
      <c r="T85" s="244" t="s">
        <v>150</v>
      </c>
      <c r="U85" s="249" t="s">
        <v>150</v>
      </c>
      <c r="V85" s="169"/>
      <c r="W85" s="164"/>
      <c r="X85" s="164"/>
      <c r="Y85" s="164" t="s">
        <v>166</v>
      </c>
      <c r="Z85" s="164"/>
      <c r="AA85" s="16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thickBot="1">
      <c r="A86" s="164"/>
      <c r="B86" s="164"/>
      <c r="C86" s="164"/>
      <c r="D86" s="164"/>
      <c r="E86" s="169"/>
      <c r="F86" s="169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167"/>
      <c r="T86" s="244"/>
      <c r="U86" s="244"/>
      <c r="V86" s="169"/>
      <c r="W86" s="164"/>
      <c r="X86" s="164"/>
      <c r="Y86" s="164"/>
      <c r="Z86" s="164"/>
      <c r="AA86" s="16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thickBot="1">
      <c r="A87" s="164"/>
      <c r="B87" s="164"/>
      <c r="C87" s="164" t="s">
        <v>86</v>
      </c>
      <c r="D87" s="164" t="s">
        <v>162</v>
      </c>
      <c r="E87" s="169" t="s">
        <v>178</v>
      </c>
      <c r="F87" s="169"/>
      <c r="G87" s="249">
        <f>('January 03'!$AM$45)</f>
        <v>22</v>
      </c>
      <c r="H87" s="249">
        <f>('February 03'!$AM$45)</f>
        <v>18</v>
      </c>
      <c r="I87" s="249">
        <f>('March 03'!$AM$45)</f>
        <v>17</v>
      </c>
      <c r="J87" s="249">
        <f>('April 03'!$AM$45)</f>
        <v>21</v>
      </c>
      <c r="K87" s="249">
        <f>('May 03'!$AM$45)</f>
        <v>18</v>
      </c>
      <c r="L87" s="249">
        <f>('June 03'!$AM$45)</f>
        <v>22</v>
      </c>
      <c r="M87" s="249">
        <f>('July 03'!$AM$45)</f>
        <v>16</v>
      </c>
      <c r="N87" s="249">
        <f>('August 03'!$AM$45)</f>
        <v>13</v>
      </c>
      <c r="O87" s="249">
        <f>('September 03'!$AM$45)</f>
        <v>17</v>
      </c>
      <c r="P87" s="249">
        <f>('October 03'!$AM$45)</f>
        <v>18</v>
      </c>
      <c r="Q87" s="292">
        <f>('November 03'!$AM$45)</f>
        <v>30</v>
      </c>
      <c r="R87" s="249">
        <f>('December 03'!$AM$45)</f>
        <v>27</v>
      </c>
      <c r="S87" s="167"/>
      <c r="T87" s="244" t="s">
        <v>150</v>
      </c>
      <c r="U87" s="249" t="s">
        <v>150</v>
      </c>
      <c r="V87" s="169" t="s">
        <v>178</v>
      </c>
      <c r="W87" s="164"/>
      <c r="X87" s="164"/>
      <c r="Y87" s="164" t="s">
        <v>163</v>
      </c>
      <c r="Z87" s="164"/>
      <c r="AA87" s="16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thickBot="1">
      <c r="A88" s="164"/>
      <c r="B88" s="164"/>
      <c r="C88" s="164"/>
      <c r="D88" s="164" t="s">
        <v>164</v>
      </c>
      <c r="E88" s="169"/>
      <c r="F88" s="169"/>
      <c r="G88" s="249">
        <f>('January 03'!$AM$47)</f>
        <v>16.714285714285715</v>
      </c>
      <c r="H88" s="249">
        <f>('February 03'!$AM$47)</f>
        <v>14.75</v>
      </c>
      <c r="I88" s="249">
        <f>('March 03'!$AM$47)</f>
        <v>14.833333333333334</v>
      </c>
      <c r="J88" s="249">
        <f>('April 03'!$AM$47)</f>
        <v>16.46153846153846</v>
      </c>
      <c r="K88" s="249">
        <f>('May 03'!$AM$47)</f>
        <v>14.928571428571429</v>
      </c>
      <c r="L88" s="249">
        <f>('June 03'!$AM$47)</f>
        <v>15.666666666666666</v>
      </c>
      <c r="M88" s="249">
        <f>('July 03'!$AM$47)</f>
        <v>10.928571428571429</v>
      </c>
      <c r="N88" s="249">
        <f>('August 03'!$AM$47)</f>
        <v>10.615384615384615</v>
      </c>
      <c r="O88" s="249">
        <f>('September 03'!$AM$47)</f>
        <v>12.333333333333334</v>
      </c>
      <c r="P88" s="249">
        <f>('October 03'!$AM$47)</f>
        <v>15.6</v>
      </c>
      <c r="Q88" s="249">
        <f>('November 03'!$AM$47)</f>
        <v>20.75</v>
      </c>
      <c r="R88" s="249">
        <f>('December 03'!$AM$47)</f>
        <v>17.53846153846154</v>
      </c>
      <c r="S88" s="167"/>
      <c r="T88" s="244" t="s">
        <v>150</v>
      </c>
      <c r="U88" s="295">
        <f>(IF(((SUM(G88:R88))=0)," ",(AVERAGE(G88:R88))))</f>
        <v>15.093345543345544</v>
      </c>
      <c r="V88" s="169"/>
      <c r="W88" s="164"/>
      <c r="X88" s="164"/>
      <c r="Y88" s="164" t="s">
        <v>164</v>
      </c>
      <c r="Z88" s="164"/>
      <c r="AA88" s="16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thickBot="1">
      <c r="A89" s="164"/>
      <c r="B89" s="164"/>
      <c r="C89" s="164"/>
      <c r="D89" s="164" t="s">
        <v>165</v>
      </c>
      <c r="E89" s="169"/>
      <c r="F89" s="169"/>
      <c r="G89" s="249">
        <f>('January 03'!$AM$46)</f>
        <v>13</v>
      </c>
      <c r="H89" s="249">
        <f>('February 03'!$AM$46)</f>
        <v>10</v>
      </c>
      <c r="I89" s="249">
        <f>('March 03'!$AM$46)</f>
        <v>12</v>
      </c>
      <c r="J89" s="249">
        <f>('April 03'!$AM$46)</f>
        <v>11</v>
      </c>
      <c r="K89" s="249">
        <f>('May 03'!$AM$46)</f>
        <v>13</v>
      </c>
      <c r="L89" s="249">
        <f>('June 03'!$AM$46)</f>
        <v>12</v>
      </c>
      <c r="M89" s="293">
        <f>('July 03'!$AM$46)</f>
        <v>8</v>
      </c>
      <c r="N89" s="294">
        <f>('August 03'!$AM$46)</f>
        <v>8</v>
      </c>
      <c r="O89" s="249">
        <f>('September 03'!$AM$46)</f>
        <v>9</v>
      </c>
      <c r="P89" s="249">
        <f>('October 03'!$AM$46)</f>
        <v>12</v>
      </c>
      <c r="Q89" s="249">
        <f>('November 03'!$AM$46)</f>
        <v>14</v>
      </c>
      <c r="R89" s="249">
        <f>('December 03'!$AM$46)</f>
        <v>14</v>
      </c>
      <c r="S89" s="167"/>
      <c r="T89" s="244" t="s">
        <v>150</v>
      </c>
      <c r="U89" s="249" t="s">
        <v>150</v>
      </c>
      <c r="V89" s="169"/>
      <c r="W89" s="164"/>
      <c r="X89" s="164"/>
      <c r="Y89" s="164" t="s">
        <v>166</v>
      </c>
      <c r="Z89" s="164"/>
      <c r="AA89" s="16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>
      <c r="A90" s="164"/>
      <c r="B90" s="164"/>
      <c r="C90" s="164"/>
      <c r="D90" s="164"/>
      <c r="E90" s="169"/>
      <c r="F90" s="169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167"/>
      <c r="T90" s="244"/>
      <c r="U90" s="244"/>
      <c r="V90" s="169"/>
      <c r="W90" s="164"/>
      <c r="X90" s="164"/>
      <c r="Y90" s="164"/>
      <c r="Z90" s="164"/>
      <c r="AA90" s="16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>
      <c r="A91" s="164"/>
      <c r="B91" s="164"/>
      <c r="C91" s="164" t="s">
        <v>86</v>
      </c>
      <c r="D91" s="164" t="s">
        <v>162</v>
      </c>
      <c r="E91" s="169" t="s">
        <v>174</v>
      </c>
      <c r="F91" s="169"/>
      <c r="G91" s="249">
        <f>('January 03'!$AN$45)</f>
        <v>380.53752</v>
      </c>
      <c r="H91" s="249">
        <f>('February 03'!$AN$45)</f>
        <v>345.87647999999996</v>
      </c>
      <c r="I91" s="249">
        <f>('March 03'!$AN$45)</f>
        <v>528.69762</v>
      </c>
      <c r="J91" s="249">
        <f>('April 03'!$AN$45)</f>
        <v>556.41978</v>
      </c>
      <c r="K91" s="249">
        <f>('May 03'!$AN$45)</f>
        <v>434.14703999999995</v>
      </c>
      <c r="L91" s="249">
        <f>('June 03'!$AN$45)</f>
        <v>446.6904</v>
      </c>
      <c r="M91" s="249">
        <f>('July 03'!$AN$45)</f>
        <v>312.38304</v>
      </c>
      <c r="N91" s="249">
        <f>('August 03'!$AN$45)</f>
        <v>227.79041999999998</v>
      </c>
      <c r="O91" s="249">
        <f>('September 03'!$AN$45)</f>
        <v>327.79535999999996</v>
      </c>
      <c r="P91" s="249">
        <f>('October 03'!$AN$45)</f>
        <v>449.72616</v>
      </c>
      <c r="Q91" s="249">
        <f>('November 03'!$AN$45)</f>
        <v>716.00568</v>
      </c>
      <c r="R91" s="249">
        <f>('December 03'!$AN$45)</f>
        <v>714.7213199999999</v>
      </c>
      <c r="S91" s="167"/>
      <c r="T91" s="244" t="s">
        <v>150</v>
      </c>
      <c r="U91" s="249" t="s">
        <v>150</v>
      </c>
      <c r="V91" s="169" t="s">
        <v>174</v>
      </c>
      <c r="W91" s="164"/>
      <c r="X91" s="164"/>
      <c r="Y91" s="164" t="s">
        <v>163</v>
      </c>
      <c r="Z91" s="164"/>
      <c r="AA91" s="16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>
      <c r="A92" s="164"/>
      <c r="B92" s="164"/>
      <c r="C92" s="164"/>
      <c r="D92" s="164" t="s">
        <v>164</v>
      </c>
      <c r="E92" s="169"/>
      <c r="F92" s="169"/>
      <c r="G92" s="249">
        <f>('January 03'!$AN$47)</f>
        <v>304.3027714285714</v>
      </c>
      <c r="H92" s="249">
        <f>('February 03'!$AN$47)</f>
        <v>259.285735</v>
      </c>
      <c r="I92" s="249">
        <f>('March 03'!$AN$47)</f>
        <v>349.448085</v>
      </c>
      <c r="J92" s="249">
        <f>('April 03'!$AN$47)</f>
        <v>431.5821692307692</v>
      </c>
      <c r="K92" s="249">
        <f>('May 03'!$AN$47)</f>
        <v>336.15859285714293</v>
      </c>
      <c r="L92" s="249">
        <f>('June 03'!$AN$47)</f>
        <v>327.59798</v>
      </c>
      <c r="M92" s="249">
        <f>('July 03'!$AN$47)</f>
        <v>198.8136857142857</v>
      </c>
      <c r="N92" s="249">
        <f>('August 03'!$AN$47)</f>
        <v>170.71723384615385</v>
      </c>
      <c r="O92" s="249">
        <f>('September 03'!$AN$47)</f>
        <v>212.45594000000003</v>
      </c>
      <c r="P92" s="249">
        <f>('October 03'!$AN$47)</f>
        <v>339.46969199999995</v>
      </c>
      <c r="Q92" s="249">
        <f>('November 03'!$AN$47)</f>
        <v>510.04659999999996</v>
      </c>
      <c r="R92" s="249">
        <f>('December 03'!$AN$47)</f>
        <v>472.86516923076914</v>
      </c>
      <c r="S92" s="167"/>
      <c r="T92" s="244" t="s">
        <v>150</v>
      </c>
      <c r="U92" s="249">
        <f>(IF(((SUM(G92:R92))=0)," ",(AVERAGE(G92:R92))))</f>
        <v>326.0619711923077</v>
      </c>
      <c r="V92" s="169"/>
      <c r="W92" s="164"/>
      <c r="X92" s="164"/>
      <c r="Y92" s="164" t="s">
        <v>164</v>
      </c>
      <c r="Z92" s="164"/>
      <c r="AA92" s="16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>
      <c r="A93" s="164"/>
      <c r="B93" s="164"/>
      <c r="C93" s="164"/>
      <c r="D93" s="164" t="s">
        <v>165</v>
      </c>
      <c r="E93" s="169"/>
      <c r="F93" s="169"/>
      <c r="G93" s="249">
        <f>('January 03'!$AN$46)</f>
        <v>239.93346000000003</v>
      </c>
      <c r="H93" s="249">
        <f>('February 03'!$AN$46)</f>
        <v>180.31079999999997</v>
      </c>
      <c r="I93" s="249">
        <f>('March 03'!$AN$46)</f>
        <v>231.08472</v>
      </c>
      <c r="J93" s="249">
        <f>('April 03'!$AN$46)</f>
        <v>316.35288</v>
      </c>
      <c r="K93" s="249">
        <f>('May 03'!$AN$46)</f>
        <v>290.45718</v>
      </c>
      <c r="L93" s="249">
        <f>('June 03'!$AN$46)</f>
        <v>238.79088000000002</v>
      </c>
      <c r="M93" s="249">
        <f>('July 03'!$AN$46)</f>
        <v>139.17792</v>
      </c>
      <c r="N93" s="249">
        <f>('August 03'!$AN$46)</f>
        <v>121.83072</v>
      </c>
      <c r="O93" s="249">
        <f>('September 03'!$AN$46)</f>
        <v>141.56316</v>
      </c>
      <c r="P93" s="249">
        <f>('October 03'!$AN$46)</f>
        <v>263.17704</v>
      </c>
      <c r="Q93" s="249">
        <f>('November 03'!$AN$46)</f>
        <v>364.99175999999994</v>
      </c>
      <c r="R93" s="249">
        <f>('December 03'!$AN$46)</f>
        <v>336.61908</v>
      </c>
      <c r="S93" s="167"/>
      <c r="T93" s="244" t="s">
        <v>150</v>
      </c>
      <c r="U93" s="249" t="s">
        <v>150</v>
      </c>
      <c r="V93" s="169"/>
      <c r="W93" s="164"/>
      <c r="X93" s="164"/>
      <c r="Y93" s="164" t="s">
        <v>166</v>
      </c>
      <c r="Z93" s="164"/>
      <c r="AA93" s="16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thickBot="1">
      <c r="A94" s="164"/>
      <c r="B94" s="164"/>
      <c r="C94" s="164"/>
      <c r="D94" s="164"/>
      <c r="E94" s="169"/>
      <c r="F94" s="169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67"/>
      <c r="T94" s="244"/>
      <c r="U94" s="244"/>
      <c r="V94" s="169"/>
      <c r="W94" s="164"/>
      <c r="X94" s="164"/>
      <c r="Y94" s="164"/>
      <c r="Z94" s="164"/>
      <c r="AA94" s="16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thickBot="1">
      <c r="A95" s="164"/>
      <c r="B95" s="164"/>
      <c r="C95" s="164" t="s">
        <v>86</v>
      </c>
      <c r="D95" s="164" t="s">
        <v>179</v>
      </c>
      <c r="E95" s="169" t="s">
        <v>129</v>
      </c>
      <c r="F95" s="169"/>
      <c r="G95" s="252">
        <f>('January 03'!$AN$49)</f>
        <v>93.11011129809835</v>
      </c>
      <c r="H95" s="252">
        <f>('February 03'!$AN$49)</f>
        <v>94.13705081585124</v>
      </c>
      <c r="I95" s="252">
        <f>('March 03'!$AN$49)</f>
        <v>92.40287087571501</v>
      </c>
      <c r="J95" s="252">
        <f>('April 03'!$AN$49)</f>
        <v>92.68739865726756</v>
      </c>
      <c r="K95" s="252">
        <f>('May 03'!$AN$49)</f>
        <v>94.07164829550155</v>
      </c>
      <c r="L95" s="252">
        <f>('June 03'!$AN$49)</f>
        <v>93.96890769011483</v>
      </c>
      <c r="M95" s="252">
        <f>('July 03'!$AN$49)</f>
        <v>95.9633017757892</v>
      </c>
      <c r="N95" s="301">
        <f>('August 03'!$AN$49)</f>
        <v>96.62199232710664</v>
      </c>
      <c r="O95" s="252">
        <f>('September 03'!$AN$49)</f>
        <v>96.2527224248867</v>
      </c>
      <c r="P95" s="252">
        <f>('October 03'!$AN$49)</f>
        <v>94.19434326038065</v>
      </c>
      <c r="Q95" s="301">
        <f>('November 03'!$AN$49)</f>
        <v>90.95076745477326</v>
      </c>
      <c r="R95" s="252">
        <f>('December 03'!$AN$49)</f>
        <v>91.42886138178902</v>
      </c>
      <c r="S95" s="167"/>
      <c r="T95" s="167" t="s">
        <v>150</v>
      </c>
      <c r="U95" s="305">
        <f>(IF(((SUM(G95:R95))=0)," ",(AVERAGE(G95:R95))))</f>
        <v>93.81583135477281</v>
      </c>
      <c r="V95" s="169" t="s">
        <v>129</v>
      </c>
      <c r="W95" s="164"/>
      <c r="X95" s="164"/>
      <c r="Y95" s="164" t="s">
        <v>164</v>
      </c>
      <c r="Z95" s="164"/>
      <c r="AA95" s="16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>
      <c r="A96" s="164"/>
      <c r="B96" s="164"/>
      <c r="C96" s="164"/>
      <c r="D96" s="164"/>
      <c r="E96" s="169"/>
      <c r="F96" s="169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67"/>
      <c r="T96" s="244"/>
      <c r="U96" s="244"/>
      <c r="V96" s="303"/>
      <c r="W96" s="164"/>
      <c r="X96" s="164"/>
      <c r="Y96" s="164"/>
      <c r="Z96" s="164"/>
      <c r="AA96" s="16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>
      <c r="A97" s="164"/>
      <c r="B97" s="164" t="s">
        <v>17</v>
      </c>
      <c r="C97" s="164" t="s">
        <v>86</v>
      </c>
      <c r="D97" s="164" t="s">
        <v>162</v>
      </c>
      <c r="E97" s="169" t="s">
        <v>178</v>
      </c>
      <c r="F97" s="169"/>
      <c r="G97" s="249">
        <f>('January 03'!$AO$45)</f>
        <v>15</v>
      </c>
      <c r="H97" s="249">
        <f>('February 03'!$AO$45)</f>
        <v>14</v>
      </c>
      <c r="I97" s="249">
        <f>('March 03'!$AO$45)</f>
        <v>13</v>
      </c>
      <c r="J97" s="249">
        <f>('April 03'!$AO$45)</f>
        <v>16</v>
      </c>
      <c r="K97" s="249">
        <f>('May 03'!$AO$45)</f>
        <v>13</v>
      </c>
      <c r="L97" s="249">
        <f>('June 03'!$AO$45)</f>
        <v>14</v>
      </c>
      <c r="M97" s="249">
        <f>('July 03'!$AO$45)</f>
        <v>13</v>
      </c>
      <c r="N97" s="249">
        <f>('August 03'!$AO$45)</f>
        <v>10</v>
      </c>
      <c r="O97" s="249">
        <f>('September 03'!$AO$45)</f>
        <v>14</v>
      </c>
      <c r="P97" s="249">
        <f>('October 03'!$AO$45)</f>
        <v>14</v>
      </c>
      <c r="Q97" s="249">
        <f>('November 03'!$AO$45)</f>
        <v>16</v>
      </c>
      <c r="R97" s="249">
        <f>('December 03'!$AO$45)</f>
        <v>20</v>
      </c>
      <c r="S97" s="167"/>
      <c r="T97" s="244" t="s">
        <v>150</v>
      </c>
      <c r="U97" s="249" t="s">
        <v>150</v>
      </c>
      <c r="V97" s="303" t="s">
        <v>178</v>
      </c>
      <c r="W97" s="164"/>
      <c r="X97" s="164"/>
      <c r="Y97" s="164" t="s">
        <v>163</v>
      </c>
      <c r="Z97" s="164"/>
      <c r="AA97" s="16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>
      <c r="A98" s="164"/>
      <c r="B98" s="164"/>
      <c r="C98" s="164"/>
      <c r="D98" s="164" t="s">
        <v>164</v>
      </c>
      <c r="E98" s="169"/>
      <c r="F98" s="169"/>
      <c r="G98" s="249">
        <f>('January 03'!$AO$47)</f>
        <v>12</v>
      </c>
      <c r="H98" s="249">
        <f>('February 03'!$AO$47)</f>
        <v>11</v>
      </c>
      <c r="I98" s="249">
        <f>('March 03'!$AO$47)</f>
        <v>10.583333333333334</v>
      </c>
      <c r="J98" s="249">
        <f>('April 03'!$AO$47)</f>
        <v>12.23076923076923</v>
      </c>
      <c r="K98" s="249">
        <f>('May 03'!$AO$47)</f>
        <v>9.857142857142858</v>
      </c>
      <c r="L98" s="249">
        <f>('June 03'!$AO$47)</f>
        <v>10.75</v>
      </c>
      <c r="M98" s="249">
        <f>('July 03'!$AO$47)</f>
        <v>8</v>
      </c>
      <c r="N98" s="249">
        <f>('August 03'!$AO$47)</f>
        <v>7.5</v>
      </c>
      <c r="O98" s="249">
        <f>('September 03'!$AO$47)</f>
        <v>8.583333333333334</v>
      </c>
      <c r="P98" s="249">
        <f>('October 03'!$AO$47)</f>
        <v>10.333333333333334</v>
      </c>
      <c r="Q98" s="249">
        <f>('November 03'!$AO$47)</f>
        <v>13</v>
      </c>
      <c r="R98" s="249">
        <f>('December 03'!$AO$47)</f>
        <v>12.75</v>
      </c>
      <c r="S98" s="167"/>
      <c r="T98" s="244" t="s">
        <v>150</v>
      </c>
      <c r="U98" s="249">
        <f>(IF(((SUM(G98:R98))=0)," ",(AVERAGE(G98:R98))))</f>
        <v>10.548992673992673</v>
      </c>
      <c r="V98" s="303"/>
      <c r="W98" s="164"/>
      <c r="X98" s="164"/>
      <c r="Y98" s="164" t="s">
        <v>164</v>
      </c>
      <c r="Z98" s="164"/>
      <c r="AA98" s="16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>
      <c r="A99" s="164"/>
      <c r="B99" s="164"/>
      <c r="C99" s="164"/>
      <c r="D99" s="164" t="s">
        <v>165</v>
      </c>
      <c r="E99" s="169"/>
      <c r="F99" s="169"/>
      <c r="G99" s="249">
        <f>('January 03'!$AO$46)</f>
        <v>9</v>
      </c>
      <c r="H99" s="249">
        <f>('February 03'!$AO$46)</f>
        <v>9</v>
      </c>
      <c r="I99" s="249">
        <f>('March 03'!$AO$46)</f>
        <v>9</v>
      </c>
      <c r="J99" s="249">
        <f>('April 03'!$AO$46)</f>
        <v>8</v>
      </c>
      <c r="K99" s="249">
        <f>('May 03'!$AO$46)</f>
        <v>8</v>
      </c>
      <c r="L99" s="249">
        <f>('June 03'!$AO$46)</f>
        <v>7</v>
      </c>
      <c r="M99" s="249">
        <f>('July 03'!$AO$46)</f>
        <v>6</v>
      </c>
      <c r="N99" s="249">
        <f>('August 03'!$AO$46)</f>
        <v>6</v>
      </c>
      <c r="O99" s="249">
        <f>('September 03'!$AO$46)</f>
        <v>6</v>
      </c>
      <c r="P99" s="249">
        <f>('October 03'!$AO$46)</f>
        <v>7</v>
      </c>
      <c r="Q99" s="249">
        <f>('November 03'!$AO$46)</f>
        <v>9</v>
      </c>
      <c r="R99" s="249">
        <f>('December 03'!$AO$46)</f>
        <v>10</v>
      </c>
      <c r="S99" s="167"/>
      <c r="T99" s="244" t="s">
        <v>150</v>
      </c>
      <c r="U99" s="249" t="s">
        <v>150</v>
      </c>
      <c r="V99" s="303"/>
      <c r="W99" s="164"/>
      <c r="X99" s="164"/>
      <c r="Y99" s="164" t="s">
        <v>166</v>
      </c>
      <c r="Z99" s="164"/>
      <c r="AA99" s="16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>
      <c r="A100" s="164"/>
      <c r="B100" s="164"/>
      <c r="C100" s="164"/>
      <c r="D100" s="164"/>
      <c r="E100" s="169"/>
      <c r="F100" s="169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67"/>
      <c r="T100" s="244"/>
      <c r="U100" s="244"/>
      <c r="V100" s="303"/>
      <c r="W100" s="164"/>
      <c r="X100" s="164"/>
      <c r="Y100" s="164"/>
      <c r="Z100" s="164"/>
      <c r="AA100" s="16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>
      <c r="A101" s="164"/>
      <c r="B101" s="164"/>
      <c r="C101" s="164" t="s">
        <v>86</v>
      </c>
      <c r="D101" s="164" t="s">
        <v>179</v>
      </c>
      <c r="E101" s="169" t="s">
        <v>129</v>
      </c>
      <c r="F101" s="169"/>
      <c r="G101" s="252">
        <f>('January 03'!$CJ$37)</f>
        <v>95.0752907710219</v>
      </c>
      <c r="H101" s="252">
        <f>('February 03'!$CJ$37)</f>
        <v>95.63880914090164</v>
      </c>
      <c r="I101" s="252">
        <f>('March 03'!$CJ$37)</f>
        <v>94.56649748716592</v>
      </c>
      <c r="J101" s="252">
        <f>('April 03'!$CJ$37)</f>
        <v>94.45427593907301</v>
      </c>
      <c r="K101" s="252">
        <f>('May 03'!$CJ$37)</f>
        <v>96.14647842822987</v>
      </c>
      <c r="L101" s="252">
        <f>('June 03'!$CJ$37)</f>
        <v>95.8975741276489</v>
      </c>
      <c r="M101" s="252">
        <f>('July 03'!$CJ$37)</f>
        <v>97.13869864274308</v>
      </c>
      <c r="N101" s="252">
        <f>('August 03'!$CJ$37)</f>
        <v>97.63108219780786</v>
      </c>
      <c r="O101" s="252">
        <f>('September 03'!$CJ$37)</f>
        <v>97.44327184500263</v>
      </c>
      <c r="P101" s="252">
        <f>('October 03'!$CJ$37)</f>
        <v>96.3133601257489</v>
      </c>
      <c r="Q101" s="252">
        <f>('November 03'!$CJ$37)</f>
        <v>94.3266045393132</v>
      </c>
      <c r="R101" s="252">
        <f>('December 03'!$CJ$37)</f>
        <v>93.89157881603647</v>
      </c>
      <c r="S101" s="167"/>
      <c r="T101" s="167" t="s">
        <v>150</v>
      </c>
      <c r="U101" s="302">
        <f>(IF(((SUM(G101:R101))=0)," ",(AVERAGE(G101:R101))))</f>
        <v>95.71029350505778</v>
      </c>
      <c r="V101" s="169" t="s">
        <v>129</v>
      </c>
      <c r="W101" s="164"/>
      <c r="X101" s="164"/>
      <c r="Y101" s="164" t="s">
        <v>164</v>
      </c>
      <c r="Z101" s="164"/>
      <c r="AA101" s="16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>
      <c r="A102" s="164"/>
      <c r="B102" s="164"/>
      <c r="C102" s="164"/>
      <c r="D102" s="164"/>
      <c r="E102" s="169"/>
      <c r="F102" s="169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67"/>
      <c r="T102" s="244"/>
      <c r="U102" s="244"/>
      <c r="V102" s="303"/>
      <c r="W102" s="164"/>
      <c r="X102" s="164"/>
      <c r="Y102" s="164"/>
      <c r="Z102" s="164"/>
      <c r="AA102" s="16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thickBot="1">
      <c r="A103" s="164"/>
      <c r="B103" s="164" t="s">
        <v>18</v>
      </c>
      <c r="C103" s="164"/>
      <c r="D103" s="164"/>
      <c r="E103" s="169"/>
      <c r="F103" s="169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67"/>
      <c r="T103" s="244"/>
      <c r="U103" s="244"/>
      <c r="V103" s="303"/>
      <c r="W103" s="164"/>
      <c r="X103" s="164"/>
      <c r="Y103" s="164"/>
      <c r="Z103" s="164"/>
      <c r="AA103" s="16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thickBot="1">
      <c r="A104" s="164"/>
      <c r="B104" s="164"/>
      <c r="C104" s="164" t="s">
        <v>84</v>
      </c>
      <c r="D104" s="164" t="s">
        <v>162</v>
      </c>
      <c r="E104" s="169" t="s">
        <v>178</v>
      </c>
      <c r="F104" s="169"/>
      <c r="G104" s="249">
        <f>('January 03'!$AQ$45)</f>
        <v>282</v>
      </c>
      <c r="H104" s="249">
        <f>('February 03'!$AQ$45)</f>
        <v>392</v>
      </c>
      <c r="I104" s="249">
        <f>('March 03'!$AQ$45)</f>
        <v>227</v>
      </c>
      <c r="J104" s="249">
        <f>('April 03'!$AQ$45)</f>
        <v>272</v>
      </c>
      <c r="K104" s="249">
        <f>('May 03'!$AQ$45)</f>
        <v>364</v>
      </c>
      <c r="L104" s="249">
        <f>('June 03'!$AQ$45)</f>
        <v>288</v>
      </c>
      <c r="M104" s="249">
        <f>('July 03'!$AQ$45)</f>
        <v>388</v>
      </c>
      <c r="N104" s="249">
        <f>('August 03'!$AQ$45)</f>
        <v>438</v>
      </c>
      <c r="O104" s="292">
        <f>('September 03'!$AQ$45)</f>
        <v>456</v>
      </c>
      <c r="P104" s="249">
        <f>('October 03'!$AQ$45)</f>
        <v>432</v>
      </c>
      <c r="Q104" s="249">
        <f>('November 03'!$AQ$45)</f>
        <v>396</v>
      </c>
      <c r="R104" s="249">
        <f>('December 03'!$AQ$45)</f>
        <v>268</v>
      </c>
      <c r="S104" s="167"/>
      <c r="T104" s="244" t="s">
        <v>150</v>
      </c>
      <c r="U104" s="249" t="s">
        <v>150</v>
      </c>
      <c r="V104" s="303" t="s">
        <v>178</v>
      </c>
      <c r="W104" s="164"/>
      <c r="X104" s="164"/>
      <c r="Y104" s="164" t="s">
        <v>163</v>
      </c>
      <c r="Z104" s="164"/>
      <c r="AA104" s="16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thickBot="1">
      <c r="A105" s="164"/>
      <c r="B105" s="164"/>
      <c r="C105" s="164"/>
      <c r="D105" s="164" t="s">
        <v>164</v>
      </c>
      <c r="E105" s="169"/>
      <c r="F105" s="169"/>
      <c r="G105" s="249">
        <f>('January 03'!$AQ$47)</f>
        <v>224.07142857142858</v>
      </c>
      <c r="H105" s="249">
        <f>('February 03'!$AQ$47)</f>
        <v>223.91666666666666</v>
      </c>
      <c r="I105" s="249">
        <f>('March 03'!$AQ$47)</f>
        <v>186.25</v>
      </c>
      <c r="J105" s="249">
        <f>('April 03'!$AQ$47)</f>
        <v>192.53846153846155</v>
      </c>
      <c r="K105" s="249">
        <f>('May 03'!$AQ$47)</f>
        <v>252.15384615384616</v>
      </c>
      <c r="L105" s="249">
        <f>('June 03'!$AQ$47)</f>
        <v>238.83333333333334</v>
      </c>
      <c r="M105" s="249">
        <f>('July 03'!$AQ$47)</f>
        <v>294.57142857142856</v>
      </c>
      <c r="N105" s="249">
        <f>('August 03'!$AQ$47)</f>
        <v>332.15384615384613</v>
      </c>
      <c r="O105" s="249">
        <f>('September 03'!$AQ$47)</f>
        <v>357.8333333333333</v>
      </c>
      <c r="P105" s="249">
        <f>('October 03'!$AQ$47)</f>
        <v>283.6</v>
      </c>
      <c r="Q105" s="249">
        <f>('November 03'!$AQ$47)</f>
        <v>283.3333333333333</v>
      </c>
      <c r="R105" s="249">
        <f>('December 03'!$AQ$47)</f>
        <v>171</v>
      </c>
      <c r="S105" s="167"/>
      <c r="T105" s="244" t="s">
        <v>150</v>
      </c>
      <c r="U105" s="295">
        <f>(IF(((SUM(G105:R105))=0)," ",(AVERAGE(G105:R105))))</f>
        <v>253.3546398046398</v>
      </c>
      <c r="V105" s="303"/>
      <c r="W105" s="164"/>
      <c r="X105" s="164"/>
      <c r="Y105" s="164" t="s">
        <v>164</v>
      </c>
      <c r="Z105" s="164"/>
      <c r="AA105" s="16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thickBot="1">
      <c r="A106" s="164"/>
      <c r="B106" s="164"/>
      <c r="C106" s="164"/>
      <c r="D106" s="164" t="s">
        <v>165</v>
      </c>
      <c r="E106" s="169"/>
      <c r="F106" s="169"/>
      <c r="G106" s="249">
        <f>('January 03'!$AQ$46)</f>
        <v>147</v>
      </c>
      <c r="H106" s="249">
        <f>('February 03'!$AQ$46)</f>
        <v>171</v>
      </c>
      <c r="I106" s="249">
        <f>('March 03'!$AQ$46)</f>
        <v>72</v>
      </c>
      <c r="J106" s="249">
        <f>('April 03'!$AQ$46)</f>
        <v>122</v>
      </c>
      <c r="K106" s="249">
        <f>('May 03'!$AQ$46)</f>
        <v>192</v>
      </c>
      <c r="L106" s="249">
        <f>('June 03'!$AQ$46)</f>
        <v>206</v>
      </c>
      <c r="M106" s="249">
        <f>('July 03'!$AQ$46)</f>
        <v>220</v>
      </c>
      <c r="N106" s="249">
        <f>('August 03'!$AQ$46)</f>
        <v>228</v>
      </c>
      <c r="O106" s="249">
        <f>('September 03'!$AQ$46)</f>
        <v>170</v>
      </c>
      <c r="P106" s="292">
        <f>('October 03'!$AQ$46)</f>
        <v>52</v>
      </c>
      <c r="Q106" s="249">
        <f>('November 03'!$AQ$46)</f>
        <v>180</v>
      </c>
      <c r="R106" s="249">
        <f>('December 03'!$AQ$46)</f>
        <v>88</v>
      </c>
      <c r="S106" s="167"/>
      <c r="T106" s="244" t="s">
        <v>150</v>
      </c>
      <c r="U106" s="249" t="s">
        <v>150</v>
      </c>
      <c r="V106" s="303"/>
      <c r="W106" s="164"/>
      <c r="X106" s="164"/>
      <c r="Y106" s="164" t="s">
        <v>166</v>
      </c>
      <c r="Z106" s="164"/>
      <c r="AA106" s="16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>
      <c r="A107" s="164"/>
      <c r="B107" s="164"/>
      <c r="C107" s="164"/>
      <c r="D107" s="164"/>
      <c r="E107" s="169"/>
      <c r="F107" s="169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167"/>
      <c r="T107" s="244"/>
      <c r="U107" s="244"/>
      <c r="V107" s="303"/>
      <c r="W107" s="164"/>
      <c r="X107" s="164"/>
      <c r="Y107" s="164"/>
      <c r="Z107" s="164"/>
      <c r="AA107" s="16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>
      <c r="A108" s="164"/>
      <c r="B108" s="164"/>
      <c r="C108" s="164" t="s">
        <v>84</v>
      </c>
      <c r="D108" s="164" t="s">
        <v>162</v>
      </c>
      <c r="E108" s="169" t="s">
        <v>174</v>
      </c>
      <c r="F108" s="169"/>
      <c r="G108" s="249">
        <f>('January 03'!$AR$45)</f>
        <v>5395.21272</v>
      </c>
      <c r="H108" s="249">
        <f>('February 03'!$AR$45)</f>
        <v>6682.4083200000005</v>
      </c>
      <c r="I108" s="249">
        <f>('March 03'!$AR$45)</f>
        <v>5772.16404</v>
      </c>
      <c r="J108" s="249">
        <f>('April 03'!$AR$45)</f>
        <v>6735.11712</v>
      </c>
      <c r="K108" s="249">
        <f>('May 03'!$AR$45)</f>
        <v>7944.583919999999</v>
      </c>
      <c r="L108" s="249">
        <f>('June 03'!$AR$45)</f>
        <v>6372.29376</v>
      </c>
      <c r="M108" s="249">
        <f>('July 03'!$AR$45)</f>
        <v>7575.2887200000005</v>
      </c>
      <c r="N108" s="249">
        <f>('August 03'!$AR$45)</f>
        <v>7137.8056799999995</v>
      </c>
      <c r="O108" s="249">
        <f>('September 03'!$AR$45)</f>
        <v>8792.62848</v>
      </c>
      <c r="P108" s="249">
        <f>('October 03'!$AR$45)</f>
        <v>7958.76192</v>
      </c>
      <c r="Q108" s="249">
        <f>('November 03'!$AR$45)</f>
        <v>10324.05264</v>
      </c>
      <c r="R108" s="249">
        <f>('December 03'!$AR$45)</f>
        <v>7094.270879999999</v>
      </c>
      <c r="S108" s="167"/>
      <c r="T108" s="244" t="s">
        <v>150</v>
      </c>
      <c r="U108" s="249" t="s">
        <v>150</v>
      </c>
      <c r="V108" s="303" t="s">
        <v>174</v>
      </c>
      <c r="W108" s="164"/>
      <c r="X108" s="164"/>
      <c r="Y108" s="164" t="s">
        <v>163</v>
      </c>
      <c r="Z108" s="164"/>
      <c r="AA108" s="16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>
      <c r="A109" s="164"/>
      <c r="B109" s="164"/>
      <c r="C109" s="164"/>
      <c r="D109" s="164" t="s">
        <v>164</v>
      </c>
      <c r="E109" s="169"/>
      <c r="F109" s="169"/>
      <c r="G109" s="249">
        <f>('January 03'!$AR$47)</f>
        <v>4072.691262857142</v>
      </c>
      <c r="H109" s="249">
        <f>('February 03'!$AR$47)</f>
        <v>3930.90054</v>
      </c>
      <c r="I109" s="249">
        <f>('March 03'!$AR$47)</f>
        <v>4218.614555</v>
      </c>
      <c r="J109" s="249">
        <f>('April 03'!$AR$47)</f>
        <v>5025.587127692308</v>
      </c>
      <c r="K109" s="249">
        <f>('May 03'!$AR$47)</f>
        <v>5650.613030769231</v>
      </c>
      <c r="L109" s="249">
        <f>('June 03'!$AR$47)</f>
        <v>4969.93388</v>
      </c>
      <c r="M109" s="249">
        <f>('July 03'!$AR$47)</f>
        <v>5351.916205714287</v>
      </c>
      <c r="N109" s="249">
        <f>('August 03'!$AR$47)</f>
        <v>5326.106196923078</v>
      </c>
      <c r="O109" s="249">
        <f>('September 03'!$AR$47)</f>
        <v>6065.43458</v>
      </c>
      <c r="P109" s="249">
        <f>('October 03'!$AR$47)</f>
        <v>5905.046928</v>
      </c>
      <c r="Q109" s="249">
        <f>('November 03'!$AR$47)</f>
        <v>6940.439580000001</v>
      </c>
      <c r="R109" s="249">
        <f>('December 03'!$AR$47)</f>
        <v>4481.650311428571</v>
      </c>
      <c r="S109" s="167"/>
      <c r="T109" s="244" t="s">
        <v>150</v>
      </c>
      <c r="U109" s="249">
        <f>(IF(((SUM(G109:R109))=0)," ",(AVERAGE(G109:R109))))</f>
        <v>5161.577849865384</v>
      </c>
      <c r="V109" s="303"/>
      <c r="W109" s="164"/>
      <c r="X109" s="164"/>
      <c r="Y109" s="164" t="s">
        <v>164</v>
      </c>
      <c r="Z109" s="164"/>
      <c r="AA109" s="16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>
      <c r="A110" s="164"/>
      <c r="B110" s="164"/>
      <c r="C110" s="164"/>
      <c r="D110" s="164" t="s">
        <v>165</v>
      </c>
      <c r="E110" s="169"/>
      <c r="F110" s="169"/>
      <c r="G110" s="249">
        <f>('January 03'!$AR$46)</f>
        <v>3067.4019599999997</v>
      </c>
      <c r="H110" s="249">
        <f>('February 03'!$AR$46)</f>
        <v>2991.90828</v>
      </c>
      <c r="I110" s="249">
        <f>('March 03'!$AR$46)</f>
        <v>2187.54864</v>
      </c>
      <c r="J110" s="249">
        <f>('April 03'!$AR$46)</f>
        <v>3966.13704</v>
      </c>
      <c r="K110" s="249">
        <f>('May 03'!$AR$46)</f>
        <v>4381.902719999999</v>
      </c>
      <c r="L110" s="249">
        <f>('June 03'!$AR$46)</f>
        <v>4224.66036</v>
      </c>
      <c r="M110" s="249">
        <f>('July 03'!$AR$46)</f>
        <v>3764.02548</v>
      </c>
      <c r="N110" s="249">
        <f>('August 03'!$AR$46)</f>
        <v>3707.9639999999995</v>
      </c>
      <c r="O110" s="249">
        <f>('September 03'!$AR$46)</f>
        <v>3446.6717999999996</v>
      </c>
      <c r="P110" s="249">
        <f>('October 03'!$AR$46)</f>
        <v>1749.46512</v>
      </c>
      <c r="Q110" s="249">
        <f>('November 03'!$AR$46)</f>
        <v>4611.6864000000005</v>
      </c>
      <c r="R110" s="249">
        <f>('December 03'!$AR$46)</f>
        <v>2275.8859199999997</v>
      </c>
      <c r="S110" s="167"/>
      <c r="T110" s="244" t="s">
        <v>150</v>
      </c>
      <c r="U110" s="249" t="s">
        <v>150</v>
      </c>
      <c r="V110" s="303"/>
      <c r="W110" s="164"/>
      <c r="X110" s="164"/>
      <c r="Y110" s="164" t="s">
        <v>166</v>
      </c>
      <c r="Z110" s="164"/>
      <c r="AA110" s="16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>
      <c r="A111" s="164"/>
      <c r="B111" s="164"/>
      <c r="C111" s="164"/>
      <c r="D111" s="164"/>
      <c r="E111" s="169"/>
      <c r="F111" s="169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167"/>
      <c r="T111" s="244"/>
      <c r="U111" s="244"/>
      <c r="V111" s="303"/>
      <c r="W111" s="164"/>
      <c r="X111" s="164"/>
      <c r="Y111" s="164"/>
      <c r="Z111" s="164"/>
      <c r="AA111" s="16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>
      <c r="A112" s="164"/>
      <c r="B112" s="164"/>
      <c r="C112" s="164" t="s">
        <v>85</v>
      </c>
      <c r="D112" s="164" t="s">
        <v>162</v>
      </c>
      <c r="E112" s="169" t="s">
        <v>178</v>
      </c>
      <c r="F112" s="169"/>
      <c r="G112" s="249">
        <f>('January 03'!$AS$45)</f>
        <v>81</v>
      </c>
      <c r="H112" s="249">
        <f>('February 03'!$AS$45)</f>
        <v>82</v>
      </c>
      <c r="I112" s="249">
        <f>('March 03'!$AS$45)</f>
        <v>106</v>
      </c>
      <c r="J112" s="249">
        <f>('April 03'!$AS$45)</f>
        <v>86</v>
      </c>
      <c r="K112" s="249">
        <f>('May 03'!$AS$45)</f>
        <v>95</v>
      </c>
      <c r="L112" s="249">
        <f>('June 03'!$AS$45)</f>
        <v>116</v>
      </c>
      <c r="M112" s="249">
        <f>('July 03'!$AS$45)</f>
        <v>123</v>
      </c>
      <c r="N112" s="249">
        <f>('August 03'!$AS$45)</f>
        <v>124</v>
      </c>
      <c r="O112" s="249">
        <f>('September 03'!$AS$45)</f>
        <v>145</v>
      </c>
      <c r="P112" s="249">
        <f>('October 03'!$AS$45)</f>
        <v>106</v>
      </c>
      <c r="Q112" s="249">
        <f>('November 03'!$AS$45)</f>
        <v>87</v>
      </c>
      <c r="R112" s="249">
        <f>('December 03'!$AS$45)</f>
        <v>99</v>
      </c>
      <c r="S112" s="167"/>
      <c r="T112" s="244" t="s">
        <v>150</v>
      </c>
      <c r="U112" s="249" t="s">
        <v>150</v>
      </c>
      <c r="V112" s="303" t="s">
        <v>178</v>
      </c>
      <c r="W112" s="164"/>
      <c r="X112" s="164"/>
      <c r="Y112" s="164" t="s">
        <v>163</v>
      </c>
      <c r="Z112" s="164"/>
      <c r="AA112" s="16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ht="15.75" customHeight="1">
      <c r="A113" s="164"/>
      <c r="B113" s="164"/>
      <c r="C113" s="164"/>
      <c r="D113" s="164" t="s">
        <v>164</v>
      </c>
      <c r="E113" s="169"/>
      <c r="F113" s="169"/>
      <c r="G113" s="249">
        <f>('January 03'!$AS$47)</f>
        <v>60.4</v>
      </c>
      <c r="H113" s="249">
        <f>('February 03'!$AS$47)</f>
        <v>80.5</v>
      </c>
      <c r="I113" s="249">
        <f>('March 03'!$AS$47)</f>
        <v>83</v>
      </c>
      <c r="J113" s="249">
        <f>('April 03'!$AS$47)</f>
        <v>70.5</v>
      </c>
      <c r="K113" s="249">
        <f>('May 03'!$AS$47)</f>
        <v>84</v>
      </c>
      <c r="L113" s="249">
        <f>('June 03'!$AS$47)</f>
        <v>87.25</v>
      </c>
      <c r="M113" s="249">
        <f>('July 03'!$AS$47)</f>
        <v>104.25</v>
      </c>
      <c r="N113" s="249">
        <f>('August 03'!$AS$47)</f>
        <v>109.4</v>
      </c>
      <c r="O113" s="249">
        <f>('September 03'!$AS$47)</f>
        <v>105.25</v>
      </c>
      <c r="P113" s="249">
        <f>('October 03'!$AS$47)</f>
        <v>91.8</v>
      </c>
      <c r="Q113" s="249">
        <f>('November 03'!$AS$47)</f>
        <v>85</v>
      </c>
      <c r="R113" s="249">
        <f>('December 03'!$AS$47)</f>
        <v>76.2</v>
      </c>
      <c r="S113" s="167"/>
      <c r="T113" s="244" t="s">
        <v>150</v>
      </c>
      <c r="U113" s="249">
        <f>(IF(((SUM(G113:R113))=0)," ",(AVERAGE(G113:R113))))</f>
        <v>86.46249999999999</v>
      </c>
      <c r="V113" s="303"/>
      <c r="W113" s="164"/>
      <c r="X113" s="164"/>
      <c r="Y113" s="164" t="s">
        <v>164</v>
      </c>
      <c r="Z113" s="164"/>
      <c r="AA113" s="16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ht="15.75" customHeight="1">
      <c r="A114" s="164"/>
      <c r="B114" s="164"/>
      <c r="C114" s="164"/>
      <c r="D114" s="164" t="s">
        <v>165</v>
      </c>
      <c r="E114" s="169"/>
      <c r="F114" s="169"/>
      <c r="G114" s="249">
        <f>('January 03'!$AS$46)</f>
        <v>30</v>
      </c>
      <c r="H114" s="249">
        <f>('February 03'!$AS$46)</f>
        <v>79</v>
      </c>
      <c r="I114" s="249">
        <f>('March 03'!$AS$46)</f>
        <v>58</v>
      </c>
      <c r="J114" s="249">
        <f>('April 03'!$AS$46)</f>
        <v>57</v>
      </c>
      <c r="K114" s="249">
        <f>('May 03'!$AS$46)</f>
        <v>72</v>
      </c>
      <c r="L114" s="249">
        <f>('June 03'!$AS$46)</f>
        <v>71</v>
      </c>
      <c r="M114" s="249">
        <f>('July 03'!$AS$46)</f>
        <v>78</v>
      </c>
      <c r="N114" s="249">
        <f>('August 03'!$AS$46)</f>
        <v>93</v>
      </c>
      <c r="O114" s="249">
        <f>('September 03'!$AS$46)</f>
        <v>82</v>
      </c>
      <c r="P114" s="249">
        <f>('October 03'!$AS$46)</f>
        <v>84</v>
      </c>
      <c r="Q114" s="249">
        <f>('November 03'!$AS$46)</f>
        <v>82</v>
      </c>
      <c r="R114" s="249">
        <f>('December 03'!$AS$46)</f>
        <v>62</v>
      </c>
      <c r="S114" s="167"/>
      <c r="T114" s="244" t="s">
        <v>150</v>
      </c>
      <c r="U114" s="249" t="s">
        <v>150</v>
      </c>
      <c r="V114" s="303"/>
      <c r="W114" s="164"/>
      <c r="X114" s="164"/>
      <c r="Y114" s="164" t="s">
        <v>166</v>
      </c>
      <c r="Z114" s="164"/>
      <c r="AA114" s="16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>
      <c r="A115" s="164"/>
      <c r="B115" s="164"/>
      <c r="C115" s="164"/>
      <c r="D115" s="164"/>
      <c r="E115" s="169"/>
      <c r="F115" s="169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167"/>
      <c r="T115" s="244"/>
      <c r="U115" s="244"/>
      <c r="V115" s="303"/>
      <c r="W115" s="164"/>
      <c r="X115" s="164"/>
      <c r="Y115" s="164"/>
      <c r="Z115" s="164"/>
      <c r="AA115" s="16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>
      <c r="A116" s="164"/>
      <c r="B116" s="164"/>
      <c r="C116" s="164" t="s">
        <v>85</v>
      </c>
      <c r="D116" s="164" t="s">
        <v>162</v>
      </c>
      <c r="E116" s="169" t="s">
        <v>174</v>
      </c>
      <c r="F116" s="169"/>
      <c r="G116" s="249">
        <f>('January 03'!$AT$45)</f>
        <v>1476.0549</v>
      </c>
      <c r="H116" s="249">
        <f>('February 03'!$AT$45)</f>
        <v>1397.85072</v>
      </c>
      <c r="I116" s="249">
        <f>('March 03'!$AT$45)</f>
        <v>2762.625</v>
      </c>
      <c r="J116" s="249">
        <f>('April 03'!$AT$45)</f>
        <v>2125.89936</v>
      </c>
      <c r="K116" s="249">
        <f>('May 03'!$AT$45)</f>
        <v>2073.4491</v>
      </c>
      <c r="L116" s="249">
        <f>('June 03'!$AT$45)</f>
        <v>2273.4840000000004</v>
      </c>
      <c r="M116" s="249">
        <f>('July 03'!$AT$45)</f>
        <v>2183.97078</v>
      </c>
      <c r="N116" s="249">
        <f>('August 03'!$AT$45)</f>
        <v>1933.5122399999998</v>
      </c>
      <c r="O116" s="249">
        <f>('September 03'!$AT$45)</f>
        <v>2423.4372</v>
      </c>
      <c r="P116" s="249">
        <f>('October 03'!$AT$45)</f>
        <v>2600.12844</v>
      </c>
      <c r="Q116" s="249">
        <f>('November 03'!$AT$45)</f>
        <v>2368.3264799999997</v>
      </c>
      <c r="R116" s="249">
        <f>('December 03'!$AT$45)</f>
        <v>2877.4251</v>
      </c>
      <c r="S116" s="167"/>
      <c r="T116" s="244" t="s">
        <v>150</v>
      </c>
      <c r="U116" s="249" t="s">
        <v>150</v>
      </c>
      <c r="V116" s="303" t="s">
        <v>174</v>
      </c>
      <c r="W116" s="164"/>
      <c r="X116" s="164"/>
      <c r="Y116" s="164" t="s">
        <v>163</v>
      </c>
      <c r="Z116" s="164"/>
      <c r="AA116" s="16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>
      <c r="A117" s="164"/>
      <c r="B117" s="164"/>
      <c r="C117" s="164"/>
      <c r="D117" s="164" t="s">
        <v>164</v>
      </c>
      <c r="E117" s="169"/>
      <c r="F117" s="169"/>
      <c r="G117" s="249">
        <f>('January 03'!$AT$47)</f>
        <v>1090.134744</v>
      </c>
      <c r="H117" s="249">
        <f>('February 03'!$AT$47)</f>
        <v>1384.79862</v>
      </c>
      <c r="I117" s="249">
        <f>('March 03'!$AT$47)</f>
        <v>1992.5552699999998</v>
      </c>
      <c r="J117" s="249">
        <f>('April 03'!$AT$47)</f>
        <v>1824.3103649999998</v>
      </c>
      <c r="K117" s="249">
        <f>('May 03'!$AT$47)</f>
        <v>1895.226636</v>
      </c>
      <c r="L117" s="249">
        <f>('June 03'!$AT$47)</f>
        <v>1797.75789</v>
      </c>
      <c r="M117" s="249">
        <f>('July 03'!$AT$47)</f>
        <v>1851.236055</v>
      </c>
      <c r="N117" s="249">
        <f>('August 03'!$AT$47)</f>
        <v>1734.383064</v>
      </c>
      <c r="O117" s="249">
        <f>('September 03'!$AT$47)</f>
        <v>1796.9364</v>
      </c>
      <c r="P117" s="249">
        <f>('October 03'!$AT$47)</f>
        <v>2022.5500800000002</v>
      </c>
      <c r="Q117" s="249">
        <f>('November 03'!$AT$47)</f>
        <v>2192.1717799999997</v>
      </c>
      <c r="R117" s="249">
        <f>('December 03'!$AT$47)</f>
        <v>2120.91204</v>
      </c>
      <c r="S117" s="167"/>
      <c r="T117" s="244" t="s">
        <v>150</v>
      </c>
      <c r="U117" s="249">
        <f>(IF(((SUM(G117:R117))=0)," ",(AVERAGE(G117:R117))))</f>
        <v>1808.5810786666664</v>
      </c>
      <c r="V117" s="303"/>
      <c r="W117" s="164"/>
      <c r="X117" s="164"/>
      <c r="Y117" s="164" t="s">
        <v>164</v>
      </c>
      <c r="Z117" s="164"/>
      <c r="AA117" s="16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>
      <c r="A118" s="164"/>
      <c r="B118" s="164"/>
      <c r="C118" s="164"/>
      <c r="D118" s="164" t="s">
        <v>165</v>
      </c>
      <c r="E118" s="169"/>
      <c r="F118" s="169"/>
      <c r="G118" s="249">
        <f>('January 03'!$AT$46)</f>
        <v>573.9588</v>
      </c>
      <c r="H118" s="249">
        <f>('February 03'!$AT$46)</f>
        <v>1371.74652</v>
      </c>
      <c r="I118" s="249">
        <f>('March 03'!$AT$46)</f>
        <v>1067.08632</v>
      </c>
      <c r="J118" s="249">
        <f>('April 03'!$AT$46)</f>
        <v>1502.67618</v>
      </c>
      <c r="K118" s="249">
        <f>('May 03'!$AT$46)</f>
        <v>1698.8580000000002</v>
      </c>
      <c r="L118" s="249">
        <f>('June 03'!$AT$46)</f>
        <v>1489.82424</v>
      </c>
      <c r="M118" s="249">
        <f>('July 03'!$AT$46)</f>
        <v>1543.03344</v>
      </c>
      <c r="N118" s="249">
        <f>('August 03'!$AT$46)</f>
        <v>1568.3036399999999</v>
      </c>
      <c r="O118" s="249">
        <f>('September 03'!$AT$46)</f>
        <v>1496.51292</v>
      </c>
      <c r="P118" s="249">
        <f>('October 03'!$AT$46)</f>
        <v>1691.8524</v>
      </c>
      <c r="Q118" s="249">
        <f>('November 03'!$AT$46)</f>
        <v>1930.59324</v>
      </c>
      <c r="R118" s="249">
        <f>('December 03'!$AT$46)</f>
        <v>1603.46508</v>
      </c>
      <c r="S118" s="167"/>
      <c r="T118" s="244" t="s">
        <v>150</v>
      </c>
      <c r="U118" s="249" t="s">
        <v>150</v>
      </c>
      <c r="V118" s="303"/>
      <c r="W118" s="164"/>
      <c r="X118" s="164"/>
      <c r="Y118" s="164" t="s">
        <v>166</v>
      </c>
      <c r="Z118" s="164"/>
      <c r="AA118" s="16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thickBot="1">
      <c r="A119" s="164"/>
      <c r="B119" s="164"/>
      <c r="C119" s="164"/>
      <c r="D119" s="164"/>
      <c r="E119" s="169"/>
      <c r="F119" s="169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167"/>
      <c r="T119" s="244"/>
      <c r="U119" s="244"/>
      <c r="V119" s="303"/>
      <c r="W119" s="164"/>
      <c r="X119" s="164"/>
      <c r="Y119" s="164"/>
      <c r="Z119" s="164"/>
      <c r="AA119" s="16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thickBot="1">
      <c r="A120" s="164"/>
      <c r="B120" s="164"/>
      <c r="C120" s="164" t="s">
        <v>86</v>
      </c>
      <c r="D120" s="164" t="s">
        <v>162</v>
      </c>
      <c r="E120" s="169" t="s">
        <v>178</v>
      </c>
      <c r="F120" s="169"/>
      <c r="G120" s="249">
        <f>('January 03'!$AU$45)</f>
        <v>26</v>
      </c>
      <c r="H120" s="249">
        <f>('February 03'!$AU$45)</f>
        <v>23</v>
      </c>
      <c r="I120" s="249">
        <f>('March 03'!$AU$45)</f>
        <v>25</v>
      </c>
      <c r="J120" s="249">
        <f>('April 03'!$AU$45)</f>
        <v>34</v>
      </c>
      <c r="K120" s="249">
        <f>('May 03'!$AU$45)</f>
        <v>27</v>
      </c>
      <c r="L120" s="249">
        <f>('June 03'!$AU$45)</f>
        <v>29</v>
      </c>
      <c r="M120" s="249">
        <f>('July 03'!$AU$45)</f>
        <v>25</v>
      </c>
      <c r="N120" s="249">
        <f>('August 03'!$AU$45)</f>
        <v>20</v>
      </c>
      <c r="O120" s="249">
        <f>('September 03'!$AU$45)</f>
        <v>28</v>
      </c>
      <c r="P120" s="249">
        <f>('October 03'!$AU$45)</f>
        <v>28</v>
      </c>
      <c r="Q120" s="292">
        <f>('November 03'!$AU$45)</f>
        <v>39</v>
      </c>
      <c r="R120" s="249">
        <f>('December 03'!$AU$45)</f>
        <v>28</v>
      </c>
      <c r="S120" s="167"/>
      <c r="T120" s="244" t="s">
        <v>150</v>
      </c>
      <c r="U120" s="249" t="s">
        <v>150</v>
      </c>
      <c r="V120" s="303" t="s">
        <v>178</v>
      </c>
      <c r="W120" s="164"/>
      <c r="X120" s="164"/>
      <c r="Y120" s="164" t="s">
        <v>163</v>
      </c>
      <c r="Z120" s="164"/>
      <c r="AA120" s="16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thickBot="1">
      <c r="A121" s="164"/>
      <c r="B121" s="164"/>
      <c r="C121" s="164"/>
      <c r="D121" s="164" t="s">
        <v>164</v>
      </c>
      <c r="E121" s="169"/>
      <c r="F121" s="169"/>
      <c r="G121" s="249">
        <f>('January 03'!$AU$47)</f>
        <v>20.428571428571427</v>
      </c>
      <c r="H121" s="249">
        <f>('February 03'!$AU$47)</f>
        <v>18.583333333333332</v>
      </c>
      <c r="I121" s="249">
        <f>('March 03'!$AU$47)</f>
        <v>20.666666666666668</v>
      </c>
      <c r="J121" s="249">
        <f>('April 03'!$AU$47)</f>
        <v>22</v>
      </c>
      <c r="K121" s="249">
        <f>('May 03'!$AU$47)</f>
        <v>22.928571428571427</v>
      </c>
      <c r="L121" s="249">
        <f>('June 03'!$AU$47)</f>
        <v>21.916666666666668</v>
      </c>
      <c r="M121" s="249">
        <f>('July 03'!$AU$47)</f>
        <v>19</v>
      </c>
      <c r="N121" s="249">
        <f>('August 03'!$AU$47)</f>
        <v>16.615384615384617</v>
      </c>
      <c r="O121" s="249">
        <f>('September 03'!$AU$47)</f>
        <v>20.333333333333332</v>
      </c>
      <c r="P121" s="249">
        <f>('October 03'!$AU$47)</f>
        <v>23.2</v>
      </c>
      <c r="Q121" s="249">
        <f>('November 03'!$AU$47)</f>
        <v>30.166666666666668</v>
      </c>
      <c r="R121" s="249">
        <f>('December 03'!$AU$47)</f>
        <v>20.46153846153846</v>
      </c>
      <c r="S121" s="167"/>
      <c r="T121" s="244" t="s">
        <v>150</v>
      </c>
      <c r="U121" s="295">
        <f>(IF(((SUM(G121:R121))=0)," ",(AVERAGE(G121:R121))))</f>
        <v>21.358394383394383</v>
      </c>
      <c r="V121" s="303"/>
      <c r="W121" s="164"/>
      <c r="X121" s="164"/>
      <c r="Y121" s="164" t="s">
        <v>164</v>
      </c>
      <c r="Z121" s="164"/>
      <c r="AA121" s="16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thickBot="1">
      <c r="A122" s="164"/>
      <c r="B122" s="164"/>
      <c r="C122" s="164"/>
      <c r="D122" s="164" t="s">
        <v>165</v>
      </c>
      <c r="E122" s="169"/>
      <c r="F122" s="169"/>
      <c r="G122" s="292">
        <f>('January 03'!$AU$46)</f>
        <v>13</v>
      </c>
      <c r="H122" s="249">
        <f>('February 03'!$AU$46)</f>
        <v>15</v>
      </c>
      <c r="I122" s="249">
        <f>('March 03'!$AU$46)</f>
        <v>14</v>
      </c>
      <c r="J122" s="249">
        <f>('April 03'!$AU$46)</f>
        <v>15</v>
      </c>
      <c r="K122" s="249">
        <f>('May 03'!$AU$46)</f>
        <v>17</v>
      </c>
      <c r="L122" s="249">
        <f>('June 03'!$AU$46)</f>
        <v>17</v>
      </c>
      <c r="M122" s="249">
        <f>('July 03'!$AU$46)</f>
        <v>15</v>
      </c>
      <c r="N122" s="249">
        <f>('August 03'!$AU$46)</f>
        <v>14</v>
      </c>
      <c r="O122" s="249">
        <f>('September 03'!$AU$46)</f>
        <v>14</v>
      </c>
      <c r="P122" s="249">
        <f>('October 03'!$AU$46)</f>
        <v>15</v>
      </c>
      <c r="Q122" s="249">
        <f>('November 03'!$AU$46)</f>
        <v>22</v>
      </c>
      <c r="R122" s="249">
        <f>('December 03'!$AU$46)</f>
        <v>14</v>
      </c>
      <c r="S122" s="167"/>
      <c r="T122" s="244" t="s">
        <v>150</v>
      </c>
      <c r="U122" s="249" t="s">
        <v>150</v>
      </c>
      <c r="V122" s="303"/>
      <c r="W122" s="164"/>
      <c r="X122" s="164"/>
      <c r="Y122" s="164" t="s">
        <v>166</v>
      </c>
      <c r="Z122" s="164"/>
      <c r="AA122" s="16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>
      <c r="A123" s="164"/>
      <c r="B123" s="164"/>
      <c r="C123" s="164"/>
      <c r="D123" s="164"/>
      <c r="E123" s="169"/>
      <c r="F123" s="169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167"/>
      <c r="T123" s="244"/>
      <c r="U123" s="244"/>
      <c r="V123" s="303"/>
      <c r="W123" s="164"/>
      <c r="X123" s="164"/>
      <c r="Y123" s="164"/>
      <c r="Z123" s="164"/>
      <c r="AA123" s="16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>
      <c r="A124" s="164"/>
      <c r="B124" s="164"/>
      <c r="C124" s="164" t="s">
        <v>86</v>
      </c>
      <c r="D124" s="164" t="s">
        <v>162</v>
      </c>
      <c r="E124" s="169" t="s">
        <v>174</v>
      </c>
      <c r="F124" s="169"/>
      <c r="G124" s="249">
        <f>('January 03'!$AV$45)</f>
        <v>455.5725</v>
      </c>
      <c r="H124" s="249">
        <f>('February 03'!$AV$45)</f>
        <v>422.73792</v>
      </c>
      <c r="I124" s="249">
        <f>('March 03'!$AV$45)</f>
        <v>693.92136</v>
      </c>
      <c r="J124" s="249">
        <f>('April 03'!$AV$45)</f>
        <v>900.87012</v>
      </c>
      <c r="K124" s="249">
        <f>('May 03'!$AV$45)</f>
        <v>601.5225</v>
      </c>
      <c r="L124" s="249">
        <f>('June 03'!$AV$45)</f>
        <v>594.73374</v>
      </c>
      <c r="M124" s="249">
        <f>('July 03'!$AV$45)</f>
        <v>488.09850000000006</v>
      </c>
      <c r="N124" s="249">
        <f>('August 03'!$AV$45)</f>
        <v>350.44679999999994</v>
      </c>
      <c r="O124" s="249">
        <f>('September 03'!$AV$45)</f>
        <v>492.0183</v>
      </c>
      <c r="P124" s="249">
        <f>('October 03'!$AV$45)</f>
        <v>740.1583199999999</v>
      </c>
      <c r="Q124" s="249">
        <f>('November 03'!$AV$45)</f>
        <v>999.1987200000001</v>
      </c>
      <c r="R124" s="249">
        <f>('December 03'!$AV$45)</f>
        <v>880.0785000000001</v>
      </c>
      <c r="S124" s="167"/>
      <c r="T124" s="244" t="s">
        <v>150</v>
      </c>
      <c r="U124" s="249" t="s">
        <v>150</v>
      </c>
      <c r="V124" s="303" t="s">
        <v>174</v>
      </c>
      <c r="W124" s="164"/>
      <c r="X124" s="164"/>
      <c r="Y124" s="164" t="s">
        <v>163</v>
      </c>
      <c r="Z124" s="164"/>
      <c r="AA124" s="16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>
      <c r="A125" s="164"/>
      <c r="B125" s="164"/>
      <c r="C125" s="164"/>
      <c r="D125" s="164" t="s">
        <v>164</v>
      </c>
      <c r="E125" s="169"/>
      <c r="F125" s="169"/>
      <c r="G125" s="249">
        <f>('January 03'!$AV$47)</f>
        <v>371.18659285714284</v>
      </c>
      <c r="H125" s="249">
        <f>('February 03'!$AV$47)</f>
        <v>326.66946</v>
      </c>
      <c r="I125" s="249">
        <f>('March 03'!$AV$47)</f>
        <v>487.77254500000004</v>
      </c>
      <c r="J125" s="249">
        <f>('April 03'!$AV$47)</f>
        <v>579.9020123076923</v>
      </c>
      <c r="K125" s="249">
        <f>('May 03'!$AV$47)</f>
        <v>515.0736342857142</v>
      </c>
      <c r="L125" s="249">
        <f>('June 03'!$AV$47)</f>
        <v>457.2008849999999</v>
      </c>
      <c r="M125" s="249">
        <f>('July 03'!$AV$47)</f>
        <v>346.1505085714286</v>
      </c>
      <c r="N125" s="249">
        <f>('August 03'!$AV$47)</f>
        <v>267.1269923076923</v>
      </c>
      <c r="O125" s="249">
        <f>('September 03'!$AV$47)</f>
        <v>349.53287500000005</v>
      </c>
      <c r="P125" s="249">
        <f>('October 03'!$AV$47)</f>
        <v>505.9194119999999</v>
      </c>
      <c r="Q125" s="249">
        <f>('November 03'!$AV$47)</f>
        <v>743.5172550000001</v>
      </c>
      <c r="R125" s="249">
        <f>('December 03'!$AV$47)</f>
        <v>549.515543076923</v>
      </c>
      <c r="S125" s="167"/>
      <c r="T125" s="244" t="s">
        <v>150</v>
      </c>
      <c r="U125" s="249">
        <f>(IF(((SUM(G125:R125))=0)," ",(AVERAGE(G125:R125))))</f>
        <v>458.29730961721606</v>
      </c>
      <c r="V125" s="303"/>
      <c r="W125" s="164"/>
      <c r="X125" s="164"/>
      <c r="Y125" s="164" t="s">
        <v>164</v>
      </c>
      <c r="Z125" s="164"/>
      <c r="AA125" s="16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>
      <c r="A126" s="164"/>
      <c r="B126" s="164"/>
      <c r="C126" s="164"/>
      <c r="D126" s="164" t="s">
        <v>165</v>
      </c>
      <c r="E126" s="169"/>
      <c r="F126" s="169"/>
      <c r="G126" s="249">
        <f>('January 03'!$AV$46)</f>
        <v>234.83772</v>
      </c>
      <c r="H126" s="249">
        <f>('February 03'!$AV$46)</f>
        <v>255.7044</v>
      </c>
      <c r="I126" s="249">
        <f>('March 03'!$AV$46)</f>
        <v>257.57256</v>
      </c>
      <c r="J126" s="249">
        <f>('April 03'!$AV$46)</f>
        <v>395.4411</v>
      </c>
      <c r="K126" s="249">
        <f>('May 03'!$AV$46)</f>
        <v>379.82862</v>
      </c>
      <c r="L126" s="249">
        <f>('June 03'!$AV$46)</f>
        <v>335.59326</v>
      </c>
      <c r="M126" s="249">
        <f>('July 03'!$AV$46)</f>
        <v>259.58250000000004</v>
      </c>
      <c r="N126" s="249">
        <f>('August 03'!$AV$46)</f>
        <v>204.68027999999998</v>
      </c>
      <c r="O126" s="249">
        <f>('September 03'!$AV$46)</f>
        <v>220.20936</v>
      </c>
      <c r="P126" s="249">
        <f>('October 03'!$AV$46)</f>
        <v>339.77160000000003</v>
      </c>
      <c r="Q126" s="249">
        <f>('November 03'!$AV$46)</f>
        <v>573.5584799999999</v>
      </c>
      <c r="R126" s="249">
        <f>('December 03'!$AV$46)</f>
        <v>362.07276</v>
      </c>
      <c r="S126" s="167"/>
      <c r="T126" s="244" t="s">
        <v>150</v>
      </c>
      <c r="U126" s="249" t="s">
        <v>150</v>
      </c>
      <c r="V126" s="303"/>
      <c r="W126" s="164"/>
      <c r="X126" s="164"/>
      <c r="Y126" s="164" t="s">
        <v>166</v>
      </c>
      <c r="Z126" s="164"/>
      <c r="AA126" s="16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thickBot="1">
      <c r="A127" s="164"/>
      <c r="B127" s="164"/>
      <c r="C127" s="164"/>
      <c r="D127" s="164"/>
      <c r="E127" s="169"/>
      <c r="F127" s="169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67"/>
      <c r="T127" s="244"/>
      <c r="U127" s="244"/>
      <c r="V127" s="303"/>
      <c r="W127" s="164"/>
      <c r="X127" s="164"/>
      <c r="Y127" s="164"/>
      <c r="Z127" s="164"/>
      <c r="AA127" s="16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thickBot="1">
      <c r="A128" s="164"/>
      <c r="B128" s="164"/>
      <c r="C128" s="164" t="s">
        <v>86</v>
      </c>
      <c r="D128" s="164" t="s">
        <v>179</v>
      </c>
      <c r="E128" s="169" t="s">
        <v>129</v>
      </c>
      <c r="F128" s="169"/>
      <c r="G128" s="252">
        <f>('January 03'!$AU$49)</f>
        <v>90.88300924450112</v>
      </c>
      <c r="H128" s="252">
        <f>('February 03'!$AU$49)</f>
        <v>91.70078154075176</v>
      </c>
      <c r="I128" s="252">
        <f>('March 03'!$AU$49)</f>
        <v>88.90380313199105</v>
      </c>
      <c r="J128" s="252">
        <f>('April 03'!$AU$49)</f>
        <v>88.57371154614462</v>
      </c>
      <c r="K128" s="252">
        <f>('May 03'!$AU$49)</f>
        <v>90.90691188006625</v>
      </c>
      <c r="L128" s="252">
        <f>('June 03'!$AU$49)</f>
        <v>90.82344731332869</v>
      </c>
      <c r="M128" s="252">
        <f>('July 03'!$AU$49)</f>
        <v>93.54995150339475</v>
      </c>
      <c r="N128" s="301">
        <f>('August 03'!$AU$49)</f>
        <v>94.99768411301528</v>
      </c>
      <c r="O128" s="252">
        <f>('September 03'!$AU$49)</f>
        <v>94.3176525384257</v>
      </c>
      <c r="P128" s="252">
        <f>('October 03'!$AU$49)</f>
        <v>91.8194640338505</v>
      </c>
      <c r="Q128" s="252">
        <f>('November 03'!$AU$49)</f>
        <v>89.3529411764706</v>
      </c>
      <c r="R128" s="301">
        <f>('December 03'!$AU$49)</f>
        <v>88.03418803418805</v>
      </c>
      <c r="S128" s="167"/>
      <c r="T128" s="244" t="s">
        <v>150</v>
      </c>
      <c r="U128" s="306">
        <f>(IF(((SUM(G128:R128))=0)," ",(AVERAGE(G128:R128))))</f>
        <v>91.15529550467737</v>
      </c>
      <c r="V128" s="303" t="s">
        <v>129</v>
      </c>
      <c r="W128" s="164"/>
      <c r="X128" s="164"/>
      <c r="Y128" s="164" t="s">
        <v>164</v>
      </c>
      <c r="Z128" s="164"/>
      <c r="AA128" s="16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9.5" customHeight="1">
      <c r="A129" s="164" t="str">
        <f>(A1)</f>
        <v>BRUNSWICK SEWER DISTRICT</v>
      </c>
      <c r="B129" s="164"/>
      <c r="C129" s="164"/>
      <c r="D129" s="164"/>
      <c r="E129" s="164"/>
      <c r="F129" s="164"/>
      <c r="G129" s="175"/>
      <c r="H129" s="175"/>
      <c r="I129" s="174"/>
      <c r="J129" s="174"/>
      <c r="K129" s="174"/>
      <c r="L129" s="174" t="str">
        <f>(L1)</f>
        <v>State Discharge License Number W 002600-5L-C-R</v>
      </c>
      <c r="M129" s="175"/>
      <c r="N129" s="187"/>
      <c r="O129" s="187"/>
      <c r="P129" s="173"/>
      <c r="Q129" s="173"/>
      <c r="R129" s="173"/>
      <c r="S129" s="166"/>
      <c r="T129" s="311" t="str">
        <f>(T1)</f>
        <v>Gregory H. Thulen</v>
      </c>
      <c r="U129" s="311"/>
      <c r="V129" s="311"/>
      <c r="W129" s="164"/>
      <c r="X129" s="164"/>
      <c r="Y129" s="164"/>
      <c r="Z129" s="164"/>
      <c r="AA129" s="16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9.5" customHeight="1">
      <c r="A130" s="164"/>
      <c r="B130" s="164"/>
      <c r="C130" s="164"/>
      <c r="D130" s="164"/>
      <c r="E130" s="164"/>
      <c r="F130" s="164"/>
      <c r="G130" s="175"/>
      <c r="H130" s="175"/>
      <c r="I130" s="175"/>
      <c r="J130" s="175"/>
      <c r="K130" s="175"/>
      <c r="L130" s="175"/>
      <c r="M130" s="175"/>
      <c r="N130" s="187"/>
      <c r="O130" s="187"/>
      <c r="P130" s="187"/>
      <c r="Q130" s="188"/>
      <c r="R130" s="187"/>
      <c r="S130" s="166"/>
      <c r="T130" s="166"/>
      <c r="U130" s="168"/>
      <c r="V130" s="166"/>
      <c r="W130" s="164"/>
      <c r="X130" s="164"/>
      <c r="Y130" s="164"/>
      <c r="Z130" s="164"/>
      <c r="AA130" s="16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9.5" customHeight="1">
      <c r="A131" s="164" t="str">
        <f>(A3)</f>
        <v>Annual Report of Treatment Operations:  2003.</v>
      </c>
      <c r="B131" s="164"/>
      <c r="C131" s="164"/>
      <c r="D131" s="164"/>
      <c r="E131" s="164"/>
      <c r="F131" s="164"/>
      <c r="G131" s="175"/>
      <c r="H131" s="175"/>
      <c r="I131" s="174"/>
      <c r="J131" s="174"/>
      <c r="K131" s="174"/>
      <c r="L131" s="174" t="str">
        <f>(L3)</f>
        <v>N.P.D.E.S. Permit Number ME 0100102</v>
      </c>
      <c r="M131" s="175"/>
      <c r="N131" s="187"/>
      <c r="O131" s="187"/>
      <c r="P131" s="173"/>
      <c r="Q131" s="173"/>
      <c r="R131" s="173"/>
      <c r="S131" s="166"/>
      <c r="T131" s="311" t="str">
        <f>(T3)</f>
        <v>Treatment Operations Division Supervisor</v>
      </c>
      <c r="U131" s="311"/>
      <c r="V131" s="311"/>
      <c r="W131" s="164"/>
      <c r="X131" s="164"/>
      <c r="Y131" s="164"/>
      <c r="Z131" s="164"/>
      <c r="AA131" s="16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9.5" customHeight="1">
      <c r="A132" s="164"/>
      <c r="B132" s="164"/>
      <c r="C132" s="164"/>
      <c r="D132" s="164"/>
      <c r="E132" s="164"/>
      <c r="F132" s="164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64"/>
      <c r="T132" s="164"/>
      <c r="U132" s="164"/>
      <c r="V132" s="167"/>
      <c r="W132" s="164"/>
      <c r="X132" s="164"/>
      <c r="Y132" s="164"/>
      <c r="Z132" s="164"/>
      <c r="AA132" s="16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9.5" customHeight="1">
      <c r="A133" s="164" t="str">
        <f>(A5)</f>
        <v>file:</v>
      </c>
      <c r="B133" s="164"/>
      <c r="C133" s="164"/>
      <c r="D133" s="164"/>
      <c r="E133" s="164"/>
      <c r="F133" s="164"/>
      <c r="G133" s="175"/>
      <c r="H133" s="175"/>
      <c r="I133" s="175"/>
      <c r="J133" s="175"/>
      <c r="K133" s="175"/>
      <c r="L133" s="175"/>
      <c r="M133" s="188"/>
      <c r="N133" s="175"/>
      <c r="O133" s="175"/>
      <c r="P133" s="175"/>
      <c r="Q133" s="175"/>
      <c r="R133" s="175"/>
      <c r="S133" s="164"/>
      <c r="T133" s="164"/>
      <c r="U133" s="164"/>
      <c r="V133" s="169" t="s">
        <v>136</v>
      </c>
      <c r="W133" s="164"/>
      <c r="X133" s="164"/>
      <c r="Y133" s="164"/>
      <c r="Z133" s="164"/>
      <c r="AA133" s="16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9.5" customHeight="1">
      <c r="A134" s="164"/>
      <c r="B134" s="164"/>
      <c r="C134" s="164"/>
      <c r="D134" s="164"/>
      <c r="E134" s="164"/>
      <c r="F134" s="164"/>
      <c r="G134" s="175"/>
      <c r="H134" s="175"/>
      <c r="I134" s="175"/>
      <c r="J134" s="175"/>
      <c r="K134" s="175"/>
      <c r="L134" s="175"/>
      <c r="M134" s="188"/>
      <c r="N134" s="175"/>
      <c r="O134" s="175"/>
      <c r="P134" s="175"/>
      <c r="Q134" s="175"/>
      <c r="R134" s="175"/>
      <c r="S134" s="164"/>
      <c r="T134" s="164"/>
      <c r="U134" s="164"/>
      <c r="V134" s="164"/>
      <c r="W134" s="164"/>
      <c r="X134" s="164"/>
      <c r="Y134" s="164"/>
      <c r="Z134" s="164"/>
      <c r="AA134" s="16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9.5" customHeight="1">
      <c r="A135" s="164"/>
      <c r="B135" s="164"/>
      <c r="C135" s="164"/>
      <c r="D135" s="164"/>
      <c r="E135" s="164"/>
      <c r="F135" s="164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64"/>
      <c r="T135" s="308" t="str">
        <f>(T7)</f>
        <v>A       N       N       U       A       L</v>
      </c>
      <c r="U135" s="309"/>
      <c r="V135" s="310"/>
      <c r="W135" s="164"/>
      <c r="X135" s="164"/>
      <c r="Y135" s="164"/>
      <c r="Z135" s="164"/>
      <c r="AA135" s="16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9.5" customHeight="1">
      <c r="A136" s="164"/>
      <c r="B136" s="170" t="str">
        <f>(B8)</f>
        <v>Parameter</v>
      </c>
      <c r="C136" s="170"/>
      <c r="D136" s="170" t="str">
        <f>(D8)</f>
        <v>Function</v>
      </c>
      <c r="E136" s="171" t="str">
        <f>(E8)</f>
        <v>Units</v>
      </c>
      <c r="F136" s="171"/>
      <c r="G136" s="172" t="str">
        <f aca="true" t="shared" si="1" ref="G136:R136">(G8)</f>
        <v>JANUARY</v>
      </c>
      <c r="H136" s="172" t="str">
        <f t="shared" si="1"/>
        <v>FEBRUARY</v>
      </c>
      <c r="I136" s="172" t="str">
        <f t="shared" si="1"/>
        <v>MARCH</v>
      </c>
      <c r="J136" s="172" t="str">
        <f t="shared" si="1"/>
        <v>APRIL</v>
      </c>
      <c r="K136" s="172" t="str">
        <f t="shared" si="1"/>
        <v>MAY</v>
      </c>
      <c r="L136" s="172" t="str">
        <f t="shared" si="1"/>
        <v>JUNE</v>
      </c>
      <c r="M136" s="172" t="str">
        <f t="shared" si="1"/>
        <v>JULY</v>
      </c>
      <c r="N136" s="172" t="str">
        <f t="shared" si="1"/>
        <v>AUGUST</v>
      </c>
      <c r="O136" s="172" t="str">
        <f t="shared" si="1"/>
        <v>SEPTEMBER</v>
      </c>
      <c r="P136" s="172" t="str">
        <f t="shared" si="1"/>
        <v>OCTOBER</v>
      </c>
      <c r="Q136" s="172" t="str">
        <f t="shared" si="1"/>
        <v>NOVEMBER</v>
      </c>
      <c r="R136" s="172" t="str">
        <f t="shared" si="1"/>
        <v>DECEMBER</v>
      </c>
      <c r="S136" s="171"/>
      <c r="T136" s="171" t="str">
        <f>(T8)</f>
        <v>Total</v>
      </c>
      <c r="U136" s="171" t="str">
        <f>(U8)</f>
        <v>Average</v>
      </c>
      <c r="V136" s="171" t="str">
        <f>(V8)</f>
        <v>Units</v>
      </c>
      <c r="W136" s="164"/>
      <c r="X136" s="164"/>
      <c r="Y136" s="164"/>
      <c r="Z136" s="164"/>
      <c r="AA136" s="16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9.5" customHeight="1">
      <c r="A137" s="164"/>
      <c r="B137" s="164"/>
      <c r="C137" s="164"/>
      <c r="D137" s="164"/>
      <c r="E137" s="167"/>
      <c r="F137" s="167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67"/>
      <c r="T137" s="167"/>
      <c r="U137" s="167"/>
      <c r="V137" s="167"/>
      <c r="W137" s="164"/>
      <c r="X137" s="164"/>
      <c r="Y137" s="164"/>
      <c r="Z137" s="164"/>
      <c r="AA137" s="16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9.5" customHeight="1">
      <c r="A138" s="164"/>
      <c r="B138" s="164"/>
      <c r="C138" s="164"/>
      <c r="D138" s="164"/>
      <c r="E138" s="169"/>
      <c r="F138" s="169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67"/>
      <c r="T138" s="167"/>
      <c r="U138" s="167"/>
      <c r="V138" s="169"/>
      <c r="W138" s="164"/>
      <c r="X138" s="164"/>
      <c r="Y138" s="164"/>
      <c r="Z138" s="164"/>
      <c r="AA138" s="16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9.5" customHeight="1">
      <c r="A139" s="164"/>
      <c r="B139" s="164" t="s">
        <v>46</v>
      </c>
      <c r="C139" s="164"/>
      <c r="D139" s="164"/>
      <c r="E139" s="169"/>
      <c r="F139" s="169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67"/>
      <c r="T139" s="167"/>
      <c r="U139" s="167"/>
      <c r="V139" s="169"/>
      <c r="W139" s="164"/>
      <c r="X139" s="164"/>
      <c r="Y139" s="164"/>
      <c r="Z139" s="164"/>
      <c r="AA139" s="16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9.5" customHeight="1">
      <c r="A140" s="164"/>
      <c r="B140" s="164"/>
      <c r="C140" s="164"/>
      <c r="D140" s="164"/>
      <c r="E140" s="169"/>
      <c r="F140" s="169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67"/>
      <c r="T140" s="167"/>
      <c r="U140" s="167"/>
      <c r="V140" s="169"/>
      <c r="W140" s="164"/>
      <c r="X140" s="164"/>
      <c r="Y140" s="164"/>
      <c r="Z140" s="164"/>
      <c r="AA140" s="16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9.5" customHeight="1">
      <c r="A141" s="164"/>
      <c r="B141" s="164"/>
      <c r="C141" s="164" t="s">
        <v>102</v>
      </c>
      <c r="D141" s="164" t="s">
        <v>180</v>
      </c>
      <c r="E141" s="169" t="s">
        <v>73</v>
      </c>
      <c r="F141" s="169"/>
      <c r="G141" s="249">
        <f>('January 03'!$AX$44)</f>
        <v>464993</v>
      </c>
      <c r="H141" s="249">
        <f>('February 03'!$AX$44)</f>
        <v>266741</v>
      </c>
      <c r="I141" s="249">
        <f>('March 03'!$AX$44)</f>
        <v>322266</v>
      </c>
      <c r="J141" s="249">
        <f>('April 03'!$AX$44)</f>
        <v>373969</v>
      </c>
      <c r="K141" s="249">
        <f>('May 03'!$AX$44)</f>
        <v>436826</v>
      </c>
      <c r="L141" s="249">
        <f>('June 03'!$AX$44)</f>
        <v>489187</v>
      </c>
      <c r="M141" s="249">
        <f>('July 03'!$AX$44)</f>
        <v>533009</v>
      </c>
      <c r="N141" s="249">
        <f>('August 03'!$AX$44)</f>
        <v>418080</v>
      </c>
      <c r="O141" s="249">
        <f>('September 03'!$AX$44)</f>
        <v>607841</v>
      </c>
      <c r="P141" s="249">
        <f>('October 03'!$AX$44)</f>
        <v>495402</v>
      </c>
      <c r="Q141" s="249">
        <f>('November 03'!$AX$44)</f>
        <v>423695</v>
      </c>
      <c r="R141" s="249">
        <f>('December 03'!$AX$44)</f>
        <v>470624</v>
      </c>
      <c r="S141" s="167"/>
      <c r="T141" s="307">
        <f>(SUM(G141:R141))</f>
        <v>5302633</v>
      </c>
      <c r="U141" s="249"/>
      <c r="V141" s="303" t="s">
        <v>73</v>
      </c>
      <c r="W141" s="164"/>
      <c r="X141" s="164"/>
      <c r="Y141" s="164" t="s">
        <v>160</v>
      </c>
      <c r="Z141" s="164"/>
      <c r="AA141" s="16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9.5" customHeight="1" thickBot="1">
      <c r="A142" s="164"/>
      <c r="B142" s="164"/>
      <c r="C142" s="164"/>
      <c r="D142" s="164"/>
      <c r="E142" s="169"/>
      <c r="F142" s="169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67"/>
      <c r="T142" s="244"/>
      <c r="U142" s="244"/>
      <c r="V142" s="303"/>
      <c r="W142" s="164"/>
      <c r="X142" s="164"/>
      <c r="Y142" s="164"/>
      <c r="Z142" s="164"/>
      <c r="AA142" s="16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9.5" customHeight="1" thickBot="1">
      <c r="A143" s="164"/>
      <c r="B143" s="164"/>
      <c r="C143" s="164" t="s">
        <v>182</v>
      </c>
      <c r="D143" s="164" t="s">
        <v>181</v>
      </c>
      <c r="E143" s="169" t="s">
        <v>129</v>
      </c>
      <c r="F143" s="169"/>
      <c r="G143" s="250">
        <f>('January 03'!$AY$47)</f>
        <v>2.75</v>
      </c>
      <c r="H143" s="250">
        <f>('February 03'!$AY$47)</f>
        <v>3</v>
      </c>
      <c r="I143" s="250">
        <f>('March 03'!$AY$47)</f>
        <v>3.2857142857142856</v>
      </c>
      <c r="J143" s="296">
        <f>('April 03'!$AY$47)</f>
        <v>3.875</v>
      </c>
      <c r="K143" s="250">
        <f>('May 03'!$AY$47)</f>
        <v>3.3</v>
      </c>
      <c r="L143" s="250">
        <f>('June 03'!$AY$47)</f>
        <v>3</v>
      </c>
      <c r="M143" s="250">
        <f>('July 03'!$AY$47)</f>
        <v>3</v>
      </c>
      <c r="N143" s="250">
        <f>('August 03'!$AY$47)</f>
        <v>3.25</v>
      </c>
      <c r="O143" s="250">
        <f>('September 03'!$AY$47)</f>
        <v>2.9</v>
      </c>
      <c r="P143" s="296">
        <f>('October 03'!$AY$47)</f>
        <v>2.6363636363636362</v>
      </c>
      <c r="Q143" s="250">
        <f>('November 03'!$AY$47)</f>
        <v>3.25</v>
      </c>
      <c r="R143" s="250">
        <f>('December 03'!$AY$47)</f>
        <v>2.6666666666666665</v>
      </c>
      <c r="S143" s="167"/>
      <c r="T143" s="244" t="s">
        <v>150</v>
      </c>
      <c r="U143" s="304">
        <f>(IF(((SUM(G143:R143))=0)," ",(AVERAGE(G143:R143))))</f>
        <v>3.076145382395382</v>
      </c>
      <c r="V143" s="169" t="s">
        <v>129</v>
      </c>
      <c r="W143" s="164"/>
      <c r="X143" s="164"/>
      <c r="Y143" s="164" t="s">
        <v>164</v>
      </c>
      <c r="Z143" s="164"/>
      <c r="AA143" s="16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9.5" customHeight="1">
      <c r="A144" s="164"/>
      <c r="B144" s="164"/>
      <c r="C144" s="164"/>
      <c r="D144" s="164"/>
      <c r="E144" s="169"/>
      <c r="F144" s="169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67"/>
      <c r="T144" s="244"/>
      <c r="U144" s="245"/>
      <c r="V144" s="169"/>
      <c r="W144" s="164"/>
      <c r="X144" s="164"/>
      <c r="Y144" s="164"/>
      <c r="Z144" s="164"/>
      <c r="AA144" s="16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9.5" customHeight="1">
      <c r="A145" s="164"/>
      <c r="B145" s="164"/>
      <c r="C145" s="164" t="s">
        <v>183</v>
      </c>
      <c r="D145" s="164" t="s">
        <v>160</v>
      </c>
      <c r="E145" s="169" t="s">
        <v>94</v>
      </c>
      <c r="F145" s="169"/>
      <c r="G145" s="250">
        <f>('January 03'!$AZ$44)</f>
        <v>26.75</v>
      </c>
      <c r="H145" s="250">
        <f>('February 03'!$AZ$44)</f>
        <v>16</v>
      </c>
      <c r="I145" s="250">
        <f>('March 03'!$AZ$44)</f>
        <v>21</v>
      </c>
      <c r="J145" s="250">
        <f>('April 03'!$AZ$44)</f>
        <v>24</v>
      </c>
      <c r="K145" s="250">
        <f>('May 03'!$AZ$44)</f>
        <v>35.25</v>
      </c>
      <c r="L145" s="250">
        <f>('June 03'!$AZ$44)</f>
        <v>33</v>
      </c>
      <c r="M145" s="250">
        <f>('July 03'!$AZ$44)</f>
        <v>34.5</v>
      </c>
      <c r="N145" s="250">
        <f>('August 03'!$AZ$44)</f>
        <v>28</v>
      </c>
      <c r="O145" s="250">
        <f>('September 03'!$AZ$44)</f>
        <v>37.25</v>
      </c>
      <c r="P145" s="250">
        <f>('October 03'!$AZ$44)</f>
        <v>32.55</v>
      </c>
      <c r="Q145" s="250">
        <f>('November 03'!$AZ$44)</f>
        <v>27.75</v>
      </c>
      <c r="R145" s="250">
        <f>('December 03'!$AZ$44)</f>
        <v>31.25</v>
      </c>
      <c r="S145" s="167"/>
      <c r="T145" s="244">
        <f>(SUM(G145:R145))</f>
        <v>347.3</v>
      </c>
      <c r="V145" s="169" t="s">
        <v>237</v>
      </c>
      <c r="W145" s="164"/>
      <c r="X145" s="164"/>
      <c r="Y145" s="164" t="s">
        <v>161</v>
      </c>
      <c r="Z145" s="164"/>
      <c r="AA145" s="16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9.5" customHeight="1">
      <c r="A146" s="164"/>
      <c r="B146" s="164"/>
      <c r="C146" s="164"/>
      <c r="D146" s="164"/>
      <c r="E146" s="169"/>
      <c r="F146" s="169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67"/>
      <c r="T146" s="244"/>
      <c r="U146" s="304">
        <f>(T145/52)</f>
        <v>6.678846153846154</v>
      </c>
      <c r="V146" s="169" t="s">
        <v>184</v>
      </c>
      <c r="W146" s="164"/>
      <c r="X146" s="164"/>
      <c r="Y146" s="164"/>
      <c r="Z146" s="164"/>
      <c r="AA146" s="16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9.5" customHeight="1">
      <c r="A147" s="164"/>
      <c r="B147" s="164"/>
      <c r="C147" s="164"/>
      <c r="D147" s="164"/>
      <c r="E147" s="169"/>
      <c r="F147" s="169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67"/>
      <c r="T147" s="244"/>
      <c r="U147" s="250"/>
      <c r="V147" s="169"/>
      <c r="W147" s="164"/>
      <c r="X147" s="164"/>
      <c r="Y147" s="164"/>
      <c r="Z147" s="164"/>
      <c r="AA147" s="16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9.5" customHeight="1">
      <c r="A148" s="164"/>
      <c r="B148" s="164"/>
      <c r="C148" s="164" t="s">
        <v>107</v>
      </c>
      <c r="D148" s="164" t="s">
        <v>185</v>
      </c>
      <c r="E148" s="169" t="s">
        <v>174</v>
      </c>
      <c r="F148" s="169"/>
      <c r="G148" s="249">
        <f>('January 03'!$BA$44)</f>
        <v>244.8</v>
      </c>
      <c r="H148" s="249">
        <f>('February 03'!$BA$44)</f>
        <v>142.6</v>
      </c>
      <c r="I148" s="249">
        <f>('March 03'!$BA$44)</f>
        <v>195.4</v>
      </c>
      <c r="J148" s="249">
        <f>('April 03'!$BA$44)</f>
        <v>232.5</v>
      </c>
      <c r="K148" s="249">
        <f>('May 03'!$BA$44)</f>
        <v>282.09999999999997</v>
      </c>
      <c r="L148" s="249">
        <f>('June 03'!$BA$44)</f>
        <v>331.7</v>
      </c>
      <c r="M148" s="249">
        <f>('July 03'!$BA$44)</f>
        <v>320</v>
      </c>
      <c r="N148" s="249">
        <f>('August 03'!$BA$44)</f>
        <v>275.6</v>
      </c>
      <c r="O148" s="249">
        <f>('September 03'!$BA$44)</f>
        <v>393.7</v>
      </c>
      <c r="P148" s="249">
        <f>('October 03'!$BA$44)</f>
        <v>325.7</v>
      </c>
      <c r="Q148" s="249">
        <f>('November 03'!$BA$44)</f>
        <v>275.7</v>
      </c>
      <c r="R148" s="249">
        <f>('December 03'!$BA$44)</f>
        <v>309.99999999999994</v>
      </c>
      <c r="S148" s="167"/>
      <c r="T148" s="244">
        <f>(SUM(G148:R148))</f>
        <v>3329.7999999999993</v>
      </c>
      <c r="U148" s="250">
        <f>(T148/52)</f>
        <v>64.03461538461536</v>
      </c>
      <c r="V148" s="169" t="s">
        <v>186</v>
      </c>
      <c r="W148" s="164"/>
      <c r="X148" s="164"/>
      <c r="Y148" s="164" t="s">
        <v>161</v>
      </c>
      <c r="Z148" s="164"/>
      <c r="AA148" s="16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9.5" customHeight="1" thickBot="1">
      <c r="A149" s="164"/>
      <c r="B149" s="164"/>
      <c r="C149" s="164"/>
      <c r="D149" s="164"/>
      <c r="E149" s="169"/>
      <c r="F149" s="169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67"/>
      <c r="T149" s="244"/>
      <c r="U149" s="245"/>
      <c r="V149" s="169"/>
      <c r="W149" s="164"/>
      <c r="X149" s="164"/>
      <c r="Y149" s="164"/>
      <c r="Z149" s="164"/>
      <c r="AA149" s="16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9.5" customHeight="1" thickBot="1">
      <c r="A150" s="164"/>
      <c r="B150" s="164"/>
      <c r="C150" s="164" t="s">
        <v>187</v>
      </c>
      <c r="D150" s="164" t="s">
        <v>181</v>
      </c>
      <c r="E150" s="169" t="s">
        <v>129</v>
      </c>
      <c r="F150" s="169"/>
      <c r="G150" s="250">
        <f>('January 03'!$BB$47)</f>
        <v>27.375</v>
      </c>
      <c r="H150" s="296">
        <f>('February 03'!$BB$47)</f>
        <v>26.8</v>
      </c>
      <c r="I150" s="250">
        <f>('March 03'!$BB$47)</f>
        <v>27.714285714285715</v>
      </c>
      <c r="J150" s="250">
        <f>('April 03'!$BB$47)</f>
        <v>29</v>
      </c>
      <c r="K150" s="250">
        <f>('May 03'!$BB$47)</f>
        <v>27.9</v>
      </c>
      <c r="L150" s="250">
        <f>('June 03'!$BB$47)</f>
        <v>27.1</v>
      </c>
      <c r="M150" s="250">
        <f>('July 03'!$BB$47)</f>
        <v>30.22222222222222</v>
      </c>
      <c r="N150" s="296">
        <f>('August 03'!$BB$47)</f>
        <v>34.875</v>
      </c>
      <c r="O150" s="250">
        <f>('September 03'!$BB$47)</f>
        <v>32.3</v>
      </c>
      <c r="P150" s="250">
        <f>('October 03'!$BB$47)</f>
        <v>28.181818181818183</v>
      </c>
      <c r="Q150" s="250">
        <f>('November 03'!$BB$47)</f>
        <v>28</v>
      </c>
      <c r="R150" s="250">
        <f>('December 03'!$BB$47)</f>
        <v>28.88888888888889</v>
      </c>
      <c r="S150" s="167"/>
      <c r="T150" s="244" t="s">
        <v>150</v>
      </c>
      <c r="U150" s="304">
        <f>(IF(((SUM(G150:R150))=0)," ",(AVERAGE(G150:R150))))</f>
        <v>29.029767917267918</v>
      </c>
      <c r="V150" s="169" t="s">
        <v>129</v>
      </c>
      <c r="W150" s="164"/>
      <c r="X150" s="164"/>
      <c r="Y150" s="164" t="s">
        <v>164</v>
      </c>
      <c r="Z150" s="164"/>
      <c r="AA150" s="16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9.5" customHeight="1">
      <c r="A151" s="164"/>
      <c r="B151" s="164"/>
      <c r="C151" s="164"/>
      <c r="D151" s="164"/>
      <c r="E151" s="169"/>
      <c r="F151" s="169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67"/>
      <c r="T151" s="244"/>
      <c r="U151" s="245"/>
      <c r="V151" s="169"/>
      <c r="W151" s="164"/>
      <c r="X151" s="164"/>
      <c r="Y151" s="164"/>
      <c r="Z151" s="164"/>
      <c r="AA151" s="16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9.5" customHeight="1">
      <c r="A152" s="164"/>
      <c r="B152" s="164"/>
      <c r="C152" s="164" t="s">
        <v>188</v>
      </c>
      <c r="D152" s="164" t="s">
        <v>180</v>
      </c>
      <c r="E152" s="169" t="s">
        <v>171</v>
      </c>
      <c r="F152" s="169"/>
      <c r="G152" s="249">
        <f>('January 03'!$BC$44)</f>
        <v>150</v>
      </c>
      <c r="H152" s="249">
        <f>('February 03'!$BC$44)</f>
        <v>120</v>
      </c>
      <c r="I152" s="249">
        <f>('March 03'!$BC$44)</f>
        <v>156</v>
      </c>
      <c r="J152" s="249">
        <f>('April 03'!$BC$44)</f>
        <v>186</v>
      </c>
      <c r="K152" s="249">
        <f>('May 03'!$BC$44)</f>
        <v>212</v>
      </c>
      <c r="L152" s="249">
        <f>('June 03'!$BC$44)</f>
        <v>212</v>
      </c>
      <c r="M152" s="249">
        <f>('July 03'!$BC$44)</f>
        <v>216</v>
      </c>
      <c r="N152" s="249">
        <f>('August 03'!$BC$44)</f>
        <v>192</v>
      </c>
      <c r="O152" s="249">
        <f>('September 03'!$BC$44)</f>
        <v>240</v>
      </c>
      <c r="P152" s="249">
        <f>('October 03'!$BC$44)</f>
        <v>204</v>
      </c>
      <c r="Q152" s="249">
        <f>('November 03'!$BC$44)</f>
        <v>180</v>
      </c>
      <c r="R152" s="249">
        <f>('December 03'!$BC$44)</f>
        <v>156</v>
      </c>
      <c r="S152" s="167"/>
      <c r="T152" s="307">
        <f>(SUM(G152:R152))</f>
        <v>2224</v>
      </c>
      <c r="W152" s="164"/>
      <c r="X152" s="164"/>
      <c r="Y152" s="164" t="s">
        <v>161</v>
      </c>
      <c r="Z152" s="164"/>
      <c r="AA152" s="16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9.5" customHeight="1">
      <c r="A153" s="164"/>
      <c r="B153" s="164"/>
      <c r="C153" s="164"/>
      <c r="D153" s="164"/>
      <c r="E153" s="169"/>
      <c r="F153" s="169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67"/>
      <c r="T153" s="244"/>
      <c r="U153" s="304">
        <f>(T152/52)</f>
        <v>42.76923076923077</v>
      </c>
      <c r="V153" s="169" t="s">
        <v>189</v>
      </c>
      <c r="W153" s="164"/>
      <c r="X153" s="164"/>
      <c r="Y153" s="164"/>
      <c r="Z153" s="164"/>
      <c r="AA153" s="16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9.5" customHeight="1">
      <c r="A154" s="164"/>
      <c r="B154" s="164"/>
      <c r="C154" s="164"/>
      <c r="D154" s="164"/>
      <c r="E154" s="169"/>
      <c r="F154" s="169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67"/>
      <c r="T154" s="244"/>
      <c r="U154" s="250"/>
      <c r="V154" s="169"/>
      <c r="W154" s="164"/>
      <c r="X154" s="164"/>
      <c r="Y154" s="164"/>
      <c r="Z154" s="164"/>
      <c r="AA154" s="16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9.5" customHeight="1">
      <c r="A155" s="164"/>
      <c r="B155" s="164"/>
      <c r="C155" s="164" t="s">
        <v>110</v>
      </c>
      <c r="D155" s="164" t="s">
        <v>185</v>
      </c>
      <c r="E155" s="169" t="s">
        <v>174</v>
      </c>
      <c r="F155" s="169"/>
      <c r="G155" s="249" t="str">
        <f>('January 03'!$BD$44)</f>
        <v> </v>
      </c>
      <c r="H155" s="249" t="str">
        <f>('February 03'!$BD$44)</f>
        <v> </v>
      </c>
      <c r="I155" s="249" t="str">
        <f>('March 03'!$BD$44)</f>
        <v> </v>
      </c>
      <c r="J155" s="249" t="str">
        <f>('April 03'!$BD$44)</f>
        <v> </v>
      </c>
      <c r="K155" s="249" t="str">
        <f>('May 03'!$BD$44)</f>
        <v> </v>
      </c>
      <c r="L155" s="249" t="str">
        <f>('June 03'!$BD$44)</f>
        <v> </v>
      </c>
      <c r="M155" s="249">
        <f>('July 03'!$BD$44)</f>
        <v>10223</v>
      </c>
      <c r="N155" s="249">
        <f>('August 03'!$BD$44)</f>
        <v>18878</v>
      </c>
      <c r="O155" s="249">
        <f>('September 03'!$BD$44)</f>
        <v>18181</v>
      </c>
      <c r="P155" s="249" t="str">
        <f>('October 03'!$BD$44)</f>
        <v> </v>
      </c>
      <c r="Q155" s="249" t="str">
        <f>('November 03'!$BD$44)</f>
        <v> </v>
      </c>
      <c r="R155" s="249" t="str">
        <f>('December 03'!$BD$44)</f>
        <v> </v>
      </c>
      <c r="S155" s="167"/>
      <c r="T155" s="244">
        <f>(SUM(G155:R155))</f>
        <v>47282</v>
      </c>
      <c r="U155" s="250"/>
      <c r="V155" s="169" t="s">
        <v>186</v>
      </c>
      <c r="W155" s="164"/>
      <c r="X155" s="164"/>
      <c r="Y155" s="164" t="s">
        <v>161</v>
      </c>
      <c r="Z155" s="164"/>
      <c r="AA155" s="16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9.5" customHeight="1">
      <c r="A156" s="164"/>
      <c r="B156" s="164"/>
      <c r="C156" s="164"/>
      <c r="D156" s="164"/>
      <c r="E156" s="169"/>
      <c r="F156" s="169"/>
      <c r="G156" s="308" t="s">
        <v>236</v>
      </c>
      <c r="H156" s="309"/>
      <c r="I156" s="309"/>
      <c r="J156" s="309"/>
      <c r="K156" s="309"/>
      <c r="L156" s="310"/>
      <c r="M156" s="173"/>
      <c r="N156" s="173"/>
      <c r="O156" s="173"/>
      <c r="P156" s="308" t="s">
        <v>236</v>
      </c>
      <c r="Q156" s="309"/>
      <c r="R156" s="310"/>
      <c r="S156" s="167"/>
      <c r="T156" s="244"/>
      <c r="U156" s="245"/>
      <c r="V156" s="169"/>
      <c r="W156" s="164"/>
      <c r="X156" s="164"/>
      <c r="Y156" s="164"/>
      <c r="Z156" s="164"/>
      <c r="AA156" s="16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9.5" customHeight="1">
      <c r="A157" s="164"/>
      <c r="B157" s="164"/>
      <c r="C157" s="164" t="s">
        <v>111</v>
      </c>
      <c r="D157" s="164" t="s">
        <v>181</v>
      </c>
      <c r="E157" s="169" t="s">
        <v>175</v>
      </c>
      <c r="F157" s="169"/>
      <c r="G157" s="250" t="str">
        <f>('January 03'!$BE$47)</f>
        <v> </v>
      </c>
      <c r="H157" s="250" t="str">
        <f>('February 03'!$BE$47)</f>
        <v> </v>
      </c>
      <c r="I157" s="250" t="str">
        <f>('March 03'!$BE$47)</f>
        <v> </v>
      </c>
      <c r="J157" s="250" t="str">
        <f>('April 03'!$BE$47)</f>
        <v> </v>
      </c>
      <c r="K157" s="250" t="str">
        <f>('May 03'!$BE$47)</f>
        <v> </v>
      </c>
      <c r="L157" s="250" t="str">
        <f>('June 03'!$BE$47)</f>
        <v> </v>
      </c>
      <c r="M157" s="250">
        <f>('July 03'!$BE$47)</f>
        <v>12.2525</v>
      </c>
      <c r="N157" s="250">
        <f>('August 03'!$BE$47)</f>
        <v>12.2825</v>
      </c>
      <c r="O157" s="250">
        <f>('September 03'!$BE$47)</f>
        <v>12.284285714285714</v>
      </c>
      <c r="P157" s="250" t="str">
        <f>('October 03'!$BE$47)</f>
        <v> </v>
      </c>
      <c r="Q157" s="250" t="str">
        <f>('November 03'!$BE$47)</f>
        <v> </v>
      </c>
      <c r="R157" s="250" t="str">
        <f>('December 03'!$BE$47)</f>
        <v> </v>
      </c>
      <c r="S157" s="167"/>
      <c r="T157" s="244" t="s">
        <v>150</v>
      </c>
      <c r="U157" s="250">
        <f>(IF(((SUM(G157:R157))=0)," ",(AVERAGE(G157:R157))))</f>
        <v>12.273095238095237</v>
      </c>
      <c r="V157" s="169" t="s">
        <v>175</v>
      </c>
      <c r="W157" s="164"/>
      <c r="X157" s="164"/>
      <c r="Y157" s="164" t="s">
        <v>164</v>
      </c>
      <c r="Z157" s="164"/>
      <c r="AA157" s="16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9.5" customHeight="1">
      <c r="A158" s="164"/>
      <c r="B158" s="164"/>
      <c r="C158" s="164"/>
      <c r="D158" s="164"/>
      <c r="E158" s="176"/>
      <c r="F158" s="176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64"/>
      <c r="T158" s="164"/>
      <c r="U158" s="164"/>
      <c r="V158" s="176"/>
      <c r="W158" s="164"/>
      <c r="X158" s="164"/>
      <c r="Y158" s="164"/>
      <c r="Z158" s="164"/>
      <c r="AA158" s="16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9.5" customHeight="1">
      <c r="A159" s="164"/>
      <c r="B159" s="164"/>
      <c r="C159" s="164"/>
      <c r="D159" s="164"/>
      <c r="E159" s="176"/>
      <c r="F159" s="176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64"/>
      <c r="T159" s="164"/>
      <c r="U159" s="164"/>
      <c r="V159" s="176"/>
      <c r="W159" s="164"/>
      <c r="X159" s="164"/>
      <c r="Y159" s="164"/>
      <c r="Z159" s="164"/>
      <c r="AA159" s="16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9.5" customHeight="1">
      <c r="A160" s="164"/>
      <c r="B160" s="164"/>
      <c r="C160" s="164"/>
      <c r="D160" s="164"/>
      <c r="E160" s="176"/>
      <c r="F160" s="176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9.5" customHeight="1">
      <c r="A161" s="164"/>
      <c r="B161" s="164"/>
      <c r="C161" s="164"/>
      <c r="D161" s="164"/>
      <c r="E161" s="176"/>
      <c r="F161" s="176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9.5" customHeight="1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9.5" customHeight="1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9.5" customHeight="1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9.5" customHeight="1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9.5" customHeight="1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9.5" customHeight="1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ht="19.5" customHeight="1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ht="19.5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27" ht="15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77"/>
    </row>
    <row r="183" spans="1:27" ht="15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77"/>
    </row>
    <row r="184" spans="1:27" ht="1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77"/>
    </row>
    <row r="185" spans="1:27" ht="15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77"/>
    </row>
    <row r="186" spans="1:27" ht="15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77"/>
    </row>
    <row r="187" spans="1:27" ht="15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77"/>
    </row>
    <row r="188" spans="1:27" ht="15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77"/>
    </row>
    <row r="189" spans="1:27" ht="15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77"/>
    </row>
    <row r="190" spans="1:27" ht="15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77"/>
    </row>
    <row r="191" spans="1:27" ht="15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77"/>
    </row>
    <row r="192" spans="1:27" ht="15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77"/>
    </row>
    <row r="193" spans="1:27" ht="15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77"/>
    </row>
    <row r="194" spans="1:27" ht="15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77"/>
    </row>
    <row r="195" spans="1:27" ht="15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77"/>
    </row>
    <row r="196" spans="1:27" ht="15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77"/>
    </row>
    <row r="197" spans="1:27" ht="15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77"/>
    </row>
    <row r="198" spans="1:27" ht="15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77"/>
    </row>
    <row r="199" spans="1:27" ht="15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77"/>
    </row>
    <row r="200" spans="1:27" ht="15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77"/>
    </row>
    <row r="201" spans="1:27" ht="15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77"/>
    </row>
    <row r="202" spans="1:27" ht="15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77"/>
    </row>
    <row r="203" spans="1:27" ht="15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77"/>
    </row>
    <row r="204" spans="1:27" ht="1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77"/>
    </row>
    <row r="205" spans="1:27" ht="15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77"/>
    </row>
    <row r="206" spans="1:27" ht="15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77"/>
    </row>
    <row r="207" spans="1:27" ht="15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77"/>
    </row>
    <row r="208" spans="1:27" ht="15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77"/>
    </row>
    <row r="209" spans="1:27" ht="15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77"/>
    </row>
    <row r="210" spans="1:27" ht="15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77"/>
    </row>
    <row r="211" spans="1:27" ht="15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77"/>
    </row>
    <row r="212" spans="1:27" ht="15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77"/>
    </row>
    <row r="213" spans="1:27" ht="15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77"/>
    </row>
    <row r="214" spans="1:27" ht="15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77"/>
    </row>
    <row r="215" spans="1:27" ht="15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77"/>
    </row>
    <row r="216" spans="1:27" ht="15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77"/>
    </row>
    <row r="217" spans="1:27" ht="15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77"/>
    </row>
    <row r="218" spans="1:27" ht="15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77"/>
    </row>
    <row r="219" spans="1:27" ht="15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77"/>
    </row>
    <row r="220" spans="1:27" ht="15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77"/>
    </row>
    <row r="221" spans="1:27" ht="15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77"/>
    </row>
    <row r="222" spans="1:27" ht="15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77"/>
    </row>
    <row r="223" spans="1:27" ht="15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77"/>
    </row>
    <row r="224" spans="1:27" ht="15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77"/>
    </row>
    <row r="225" spans="1:27" ht="15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77"/>
    </row>
    <row r="226" spans="1:27" ht="15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77"/>
    </row>
    <row r="227" spans="1:27" ht="15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77"/>
    </row>
    <row r="228" spans="1:27" ht="15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</row>
    <row r="229" spans="1:27" ht="15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</row>
    <row r="230" spans="1:27" ht="15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</row>
    <row r="231" spans="1:27" ht="15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</row>
    <row r="232" spans="1:27" ht="15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</row>
    <row r="233" spans="1:27" ht="15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</row>
    <row r="234" spans="1:27" ht="15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</row>
    <row r="235" spans="1:27" ht="15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</row>
    <row r="236" spans="1:27" ht="1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</row>
    <row r="237" spans="1:27" ht="15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</row>
    <row r="238" spans="1:27" ht="15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</row>
    <row r="239" spans="1:27" ht="15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</row>
  </sheetData>
  <sheetProtection password="CCAE" sheet="1" objects="1" scenarios="1"/>
  <mergeCells count="11">
    <mergeCell ref="T7:V7"/>
    <mergeCell ref="T67:V67"/>
    <mergeCell ref="T1:V1"/>
    <mergeCell ref="T3:V3"/>
    <mergeCell ref="T61:V61"/>
    <mergeCell ref="T63:V63"/>
    <mergeCell ref="G156:L156"/>
    <mergeCell ref="P156:R156"/>
    <mergeCell ref="T129:V129"/>
    <mergeCell ref="T131:V131"/>
    <mergeCell ref="T135:V135"/>
  </mergeCells>
  <conditionalFormatting sqref="S23">
    <cfRule type="cellIs" priority="1" dxfId="0" operator="equal" stopIfTrue="1">
      <formula>"(max($F$23:$R$23))"</formula>
    </cfRule>
  </conditionalFormatting>
  <printOptions gridLines="1"/>
  <pageMargins left="0.5" right="0.25" top="0.5" bottom="0.25" header="0.25" footer="0.25"/>
  <pageSetup fitToWidth="3" horizontalDpi="600" verticalDpi="600" orientation="landscape" paperSize="3" scale="69" r:id="rId1"/>
  <rowBreaks count="2" manualBreakCount="2">
    <brk id="6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152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February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February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1">
        <v>1569909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5">
        <v>1571966</v>
      </c>
      <c r="D12" s="138">
        <f aca="true" t="shared" si="0" ref="D12:D42">(IF(C12=0," ",((C12-C11)/1000)))</f>
        <v>2.057</v>
      </c>
      <c r="E12" s="140">
        <v>3.8</v>
      </c>
      <c r="F12" s="141">
        <v>0.6</v>
      </c>
      <c r="G12" s="81" t="str">
        <f>(IF(C12=0," ","0.00"))</f>
        <v>0.00</v>
      </c>
      <c r="H12" s="85">
        <v>0</v>
      </c>
      <c r="I12" s="86">
        <v>0</v>
      </c>
      <c r="K12" s="87" t="s">
        <v>208</v>
      </c>
      <c r="L12" s="85">
        <v>32</v>
      </c>
      <c r="M12" s="88">
        <v>0.14</v>
      </c>
      <c r="O12" s="89"/>
      <c r="Q12" s="90"/>
      <c r="R12" s="91"/>
      <c r="S12" s="92"/>
      <c r="U12" s="93">
        <v>7.1</v>
      </c>
      <c r="V12" s="94">
        <v>7.3</v>
      </c>
      <c r="W12" s="95">
        <v>6.3</v>
      </c>
      <c r="Y12" s="90">
        <v>11</v>
      </c>
      <c r="Z12" s="96">
        <v>11</v>
      </c>
      <c r="AA12" s="92">
        <v>11</v>
      </c>
      <c r="AC12" s="93">
        <v>17</v>
      </c>
      <c r="AD12" s="91">
        <v>0.1</v>
      </c>
      <c r="AE12" s="97">
        <v>0.01</v>
      </c>
      <c r="AG12" s="45">
        <f aca="true" t="shared" si="1" ref="AG12:AG42">($A12)</f>
        <v>1</v>
      </c>
      <c r="AI12" s="98"/>
      <c r="AJ12" s="55">
        <f aca="true" t="shared" si="2" ref="AJ12:AJ42">IF(AI12=0,"",(D12*AI12*8.34))</f>
      </c>
      <c r="AK12" s="98"/>
      <c r="AL12" s="55">
        <f aca="true" t="shared" si="3" ref="AL12:AL42">IF(AK12=0,"",(D12*AK12*8.34))</f>
      </c>
      <c r="AM12" s="98"/>
      <c r="AN12" s="55">
        <f aca="true" t="shared" si="4" ref="AN12:AN42">IF(AM12=0,"",(D12*AM12*8.34))</f>
      </c>
      <c r="AO12" s="99"/>
      <c r="AQ12" s="100"/>
      <c r="AR12" s="55">
        <f aca="true" t="shared" si="5" ref="AR12:AR42">IF(AQ12=0,"",(D12*AQ12*8.34))</f>
      </c>
      <c r="AS12" s="98"/>
      <c r="AT12" s="55">
        <f aca="true" t="shared" si="6" ref="AT12:AT42">IF(AS12=0,"",(D12*AS12*8.34))</f>
      </c>
      <c r="AU12" s="98"/>
      <c r="AV12" s="55">
        <f aca="true" t="shared" si="7" ref="AV12:AV42">IF(AU12=0,"",(D12*AU12*8.34))</f>
      </c>
      <c r="AX12" s="100"/>
      <c r="AY12" s="101"/>
      <c r="AZ12" s="102"/>
      <c r="BA12" s="98"/>
      <c r="BB12" s="102"/>
      <c r="BC12" s="98"/>
      <c r="BD12" s="98"/>
      <c r="BE12" s="103"/>
      <c r="BG12" s="100"/>
      <c r="BH12" s="84"/>
      <c r="BI12" s="104"/>
      <c r="BK12" s="17"/>
      <c r="BL12" s="19"/>
      <c r="BM12" s="56" t="s">
        <v>117</v>
      </c>
      <c r="BN12" s="20"/>
      <c r="BO12" s="57" t="s">
        <v>130</v>
      </c>
      <c r="BP12" s="26"/>
      <c r="BQ12" s="150">
        <f>(IF(((SUM(AN12:AN42))=0)," ",(AVERAGE(AN12:AN42))))</f>
        <v>259.285735</v>
      </c>
      <c r="BR12" s="150">
        <f>MAX(AN12:AN42)</f>
        <v>345.87647999999996</v>
      </c>
      <c r="BS12" s="105" t="s">
        <v>126</v>
      </c>
      <c r="BT12" s="105"/>
      <c r="BU12" s="150">
        <f>(IF(((SUM(AM12:AM42))=0)," ",(AVERAGE(AM12:AM42))))</f>
        <v>14.75</v>
      </c>
      <c r="BV12" s="144">
        <f>(CG23)</f>
        <v>17.666666666666668</v>
      </c>
      <c r="BW12" s="150">
        <f>MAX(AM12:AM42)</f>
        <v>18</v>
      </c>
      <c r="BX12" s="105" t="s">
        <v>128</v>
      </c>
      <c r="BY12" s="105"/>
      <c r="BZ12" s="105">
        <v>0</v>
      </c>
      <c r="CA12" s="145" t="s">
        <v>47</v>
      </c>
      <c r="CB12" s="105">
        <v>24</v>
      </c>
      <c r="CC12" s="137"/>
      <c r="CE12" s="24"/>
      <c r="CF12" s="20" t="s">
        <v>138</v>
      </c>
      <c r="CG12" s="106">
        <f>(IF(((SUM(AM16:AM18))=0)," ",(AVERAGE(AM16:AM18))))</f>
        <v>17.666666666666668</v>
      </c>
      <c r="CH12" s="106">
        <f>(IF(((SUM(AN16:AN18))=0)," ",(AVERAGE(AN16:AN18))))</f>
        <v>321.6988199999999</v>
      </c>
      <c r="CI12" s="106"/>
      <c r="CJ12" s="106">
        <f>(IF(((SUM(AU16:AU18))=0)," ",(AVERAGE(AU16:AU18))))</f>
        <v>21</v>
      </c>
      <c r="CK12" s="106">
        <f>(IF(((SUM(AV16:AV18))=0)," ",(AVERAGE(AV16:AV18))))</f>
        <v>382.27223999999995</v>
      </c>
      <c r="CL12" s="240"/>
      <c r="CM12" s="152">
        <f>(AVERAGE(AE12:AE19))</f>
        <v>0.00375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5">
        <v>1574063</v>
      </c>
      <c r="D13" s="138">
        <f t="shared" si="0"/>
        <v>2.097</v>
      </c>
      <c r="E13" s="140">
        <v>3.5</v>
      </c>
      <c r="F13" s="141">
        <v>0.6</v>
      </c>
      <c r="G13" s="81" t="str">
        <f aca="true" t="shared" si="8" ref="G13:G42">(IF(C13=0," ","0.00"))</f>
        <v>0.00</v>
      </c>
      <c r="H13" s="85">
        <v>0</v>
      </c>
      <c r="I13" s="86">
        <v>0</v>
      </c>
      <c r="K13" s="87" t="s">
        <v>209</v>
      </c>
      <c r="L13" s="85">
        <v>33</v>
      </c>
      <c r="M13" s="88">
        <v>0.61</v>
      </c>
      <c r="O13" s="107"/>
      <c r="Q13" s="108"/>
      <c r="R13" s="153"/>
      <c r="S13" s="109"/>
      <c r="U13" s="93">
        <v>7.4</v>
      </c>
      <c r="V13" s="94">
        <v>7.3</v>
      </c>
      <c r="W13" s="95">
        <v>6.3</v>
      </c>
      <c r="Y13" s="90">
        <v>10</v>
      </c>
      <c r="Z13" s="96">
        <v>10</v>
      </c>
      <c r="AA13" s="92">
        <v>10</v>
      </c>
      <c r="AC13" s="93">
        <v>4.5</v>
      </c>
      <c r="AD13" s="91">
        <v>0.1</v>
      </c>
      <c r="AE13" s="97">
        <v>0</v>
      </c>
      <c r="AG13" s="45">
        <f t="shared" si="1"/>
        <v>2</v>
      </c>
      <c r="AI13" s="98"/>
      <c r="AJ13" s="55">
        <f t="shared" si="2"/>
      </c>
      <c r="AK13" s="98"/>
      <c r="AL13" s="55">
        <f t="shared" si="3"/>
      </c>
      <c r="AM13" s="98"/>
      <c r="AN13" s="55">
        <f t="shared" si="4"/>
      </c>
      <c r="AO13" s="110"/>
      <c r="AQ13" s="100"/>
      <c r="AR13" s="55">
        <f t="shared" si="5"/>
      </c>
      <c r="AS13" s="98"/>
      <c r="AT13" s="55">
        <f t="shared" si="6"/>
      </c>
      <c r="AU13" s="98"/>
      <c r="AV13" s="55">
        <f t="shared" si="7"/>
      </c>
      <c r="AX13" s="100"/>
      <c r="AY13" s="101"/>
      <c r="AZ13" s="102"/>
      <c r="BA13" s="98"/>
      <c r="BB13" s="102"/>
      <c r="BC13" s="98"/>
      <c r="BD13" s="98"/>
      <c r="BE13" s="103"/>
      <c r="BG13" s="100"/>
      <c r="BH13" s="84"/>
      <c r="BI13" s="104"/>
      <c r="BK13" s="17"/>
      <c r="BL13" s="19"/>
      <c r="BM13" s="26" t="s">
        <v>86</v>
      </c>
      <c r="BN13" s="20"/>
      <c r="BO13" s="154" t="s">
        <v>131</v>
      </c>
      <c r="BP13" s="26"/>
      <c r="BQ13" s="237">
        <v>963</v>
      </c>
      <c r="BR13" s="237">
        <v>1605</v>
      </c>
      <c r="BS13" s="156" t="s">
        <v>126</v>
      </c>
      <c r="BT13" s="105"/>
      <c r="BU13" s="237">
        <v>30</v>
      </c>
      <c r="BV13" s="157">
        <v>45</v>
      </c>
      <c r="BW13" s="237">
        <v>50</v>
      </c>
      <c r="BX13" s="156" t="s">
        <v>128</v>
      </c>
      <c r="BY13" s="105"/>
      <c r="BZ13" s="238" t="s">
        <v>150</v>
      </c>
      <c r="CA13" s="158" t="s">
        <v>47</v>
      </c>
      <c r="CB13" s="156">
        <v>24</v>
      </c>
      <c r="CC13" s="137"/>
      <c r="CE13" s="24"/>
      <c r="CF13" s="20"/>
      <c r="CG13" s="106"/>
      <c r="CH13" s="106"/>
      <c r="CI13" s="106"/>
      <c r="CJ13" s="106"/>
      <c r="CK13" s="106"/>
      <c r="CL13" s="240"/>
      <c r="CM13" s="152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5">
        <v>1576165</v>
      </c>
      <c r="D14" s="138">
        <f t="shared" si="0"/>
        <v>2.102</v>
      </c>
      <c r="E14" s="140">
        <v>3.7</v>
      </c>
      <c r="F14" s="141">
        <v>0.6</v>
      </c>
      <c r="G14" s="81" t="str">
        <f t="shared" si="8"/>
        <v>0.00</v>
      </c>
      <c r="H14" s="85">
        <v>2000</v>
      </c>
      <c r="I14" s="86">
        <v>0</v>
      </c>
      <c r="K14" s="87" t="s">
        <v>210</v>
      </c>
      <c r="L14" s="85">
        <v>36</v>
      </c>
      <c r="M14" s="88">
        <v>0.54</v>
      </c>
      <c r="O14" s="107"/>
      <c r="Q14" s="108" t="s">
        <v>10</v>
      </c>
      <c r="R14" s="153" t="s">
        <v>10</v>
      </c>
      <c r="S14" s="109" t="s">
        <v>10</v>
      </c>
      <c r="U14" s="93">
        <v>7.7</v>
      </c>
      <c r="V14" s="94">
        <v>7.4</v>
      </c>
      <c r="W14" s="95">
        <v>6.9</v>
      </c>
      <c r="Y14" s="90">
        <v>12</v>
      </c>
      <c r="Z14" s="96">
        <v>11</v>
      </c>
      <c r="AA14" s="92">
        <v>11</v>
      </c>
      <c r="AC14" s="93">
        <v>9.5</v>
      </c>
      <c r="AD14" s="91">
        <v>0.01</v>
      </c>
      <c r="AE14" s="97">
        <v>0</v>
      </c>
      <c r="AG14" s="45">
        <f t="shared" si="1"/>
        <v>3</v>
      </c>
      <c r="AI14" s="98"/>
      <c r="AJ14" s="55">
        <f t="shared" si="2"/>
      </c>
      <c r="AK14" s="98"/>
      <c r="AL14" s="55">
        <f t="shared" si="3"/>
      </c>
      <c r="AM14" s="98"/>
      <c r="AN14" s="55">
        <f t="shared" si="4"/>
      </c>
      <c r="AO14" s="110"/>
      <c r="AQ14" s="100"/>
      <c r="AR14" s="55">
        <f t="shared" si="5"/>
      </c>
      <c r="AS14" s="98"/>
      <c r="AT14" s="55">
        <f t="shared" si="6"/>
      </c>
      <c r="AU14" s="98"/>
      <c r="AV14" s="55">
        <f t="shared" si="7"/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(IF(((SUM(AM23:AM25))=0)," ",(AVERAGE(AM23:AM25))))</f>
        <v>15</v>
      </c>
      <c r="CH14" s="106">
        <f>(IF(((SUM(AN23:AN25))=0)," ",(AVERAGE(AN23:AN25))))</f>
        <v>260.22468</v>
      </c>
      <c r="CI14" s="106"/>
      <c r="CJ14" s="106">
        <f>(IF(((SUM(AU23:AU25))=0)," ",(AVERAGE(AU23:AU25))))</f>
        <v>16</v>
      </c>
      <c r="CK14" s="106">
        <f>(IF(((SUM(AV23:AV25))=0)," ",(AVERAGE(AV23:AV25))))</f>
        <v>277.17712</v>
      </c>
      <c r="CL14" s="240"/>
      <c r="CM14" s="152">
        <f>(AVERAGE(AE20:AE26))</f>
        <v>0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5">
        <v>1578307</v>
      </c>
      <c r="D15" s="138">
        <f t="shared" si="0"/>
        <v>2.142</v>
      </c>
      <c r="E15" s="140">
        <v>3.8</v>
      </c>
      <c r="F15" s="141">
        <v>0.6</v>
      </c>
      <c r="G15" s="81" t="str">
        <f t="shared" si="8"/>
        <v>0.00</v>
      </c>
      <c r="H15" s="85">
        <v>0</v>
      </c>
      <c r="I15" s="86">
        <v>750</v>
      </c>
      <c r="K15" s="87" t="s">
        <v>208</v>
      </c>
      <c r="L15" s="85">
        <v>35</v>
      </c>
      <c r="M15" s="88">
        <v>0.39</v>
      </c>
      <c r="O15" s="107"/>
      <c r="Q15" s="108"/>
      <c r="R15" s="153"/>
      <c r="S15" s="109"/>
      <c r="U15" s="93">
        <v>7.5</v>
      </c>
      <c r="V15" s="94">
        <v>7.3</v>
      </c>
      <c r="W15" s="95">
        <v>6.4</v>
      </c>
      <c r="Y15" s="90">
        <v>11</v>
      </c>
      <c r="Z15" s="96">
        <v>11</v>
      </c>
      <c r="AA15" s="92">
        <v>11</v>
      </c>
      <c r="AC15" s="93">
        <v>8.5</v>
      </c>
      <c r="AD15" s="91">
        <v>0.01</v>
      </c>
      <c r="AE15" s="97">
        <v>0.01</v>
      </c>
      <c r="AG15" s="45">
        <f t="shared" si="1"/>
        <v>4</v>
      </c>
      <c r="AI15" s="98"/>
      <c r="AJ15" s="55">
        <f t="shared" si="2"/>
      </c>
      <c r="AK15" s="98"/>
      <c r="AL15" s="55">
        <f t="shared" si="3"/>
      </c>
      <c r="AM15" s="98"/>
      <c r="AN15" s="55">
        <f t="shared" si="4"/>
      </c>
      <c r="AO15" s="110"/>
      <c r="AQ15" s="100"/>
      <c r="AR15" s="55">
        <f t="shared" si="5"/>
      </c>
      <c r="AS15" s="98"/>
      <c r="AT15" s="55">
        <f t="shared" si="6"/>
      </c>
      <c r="AU15" s="98"/>
      <c r="AV15" s="55">
        <f t="shared" si="7"/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106"/>
      <c r="CH15" s="106"/>
      <c r="CI15" s="106"/>
      <c r="CJ15" s="106"/>
      <c r="CK15" s="106"/>
      <c r="CL15" s="240"/>
      <c r="CM15" s="152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3">
        <v>1580611</v>
      </c>
      <c r="D16" s="139">
        <f t="shared" si="0"/>
        <v>2.304</v>
      </c>
      <c r="E16" s="142">
        <v>3.8</v>
      </c>
      <c r="F16" s="143">
        <v>0.6</v>
      </c>
      <c r="G16" s="184" t="str">
        <f t="shared" si="8"/>
        <v>0.00</v>
      </c>
      <c r="H16" s="113">
        <v>1200</v>
      </c>
      <c r="I16" s="114">
        <v>1000</v>
      </c>
      <c r="K16" s="115" t="s">
        <v>210</v>
      </c>
      <c r="L16" s="113">
        <v>29</v>
      </c>
      <c r="M16" s="116">
        <v>0</v>
      </c>
      <c r="O16" s="117"/>
      <c r="Q16" s="108" t="s">
        <v>4</v>
      </c>
      <c r="R16" s="153" t="s">
        <v>4</v>
      </c>
      <c r="S16" s="109" t="s">
        <v>4</v>
      </c>
      <c r="U16" s="118">
        <v>7.6</v>
      </c>
      <c r="V16" s="119">
        <v>7.3</v>
      </c>
      <c r="W16" s="120">
        <v>6.5</v>
      </c>
      <c r="Y16" s="121">
        <v>12</v>
      </c>
      <c r="Z16" s="122">
        <v>10</v>
      </c>
      <c r="AA16" s="123">
        <v>11</v>
      </c>
      <c r="AC16" s="118">
        <v>7</v>
      </c>
      <c r="AD16" s="124">
        <v>0.01</v>
      </c>
      <c r="AE16" s="125">
        <v>0</v>
      </c>
      <c r="AG16" s="45">
        <f t="shared" si="1"/>
        <v>5</v>
      </c>
      <c r="AI16" s="126">
        <v>235</v>
      </c>
      <c r="AJ16" s="65">
        <f t="shared" si="2"/>
        <v>4515.6096</v>
      </c>
      <c r="AK16" s="126"/>
      <c r="AL16" s="65">
        <f t="shared" si="3"/>
      </c>
      <c r="AM16" s="126">
        <v>18</v>
      </c>
      <c r="AN16" s="65">
        <f t="shared" si="4"/>
        <v>345.87647999999996</v>
      </c>
      <c r="AO16" s="127">
        <v>14</v>
      </c>
      <c r="AQ16" s="128">
        <v>275</v>
      </c>
      <c r="AR16" s="65">
        <f t="shared" si="5"/>
        <v>5284.223999999999</v>
      </c>
      <c r="AS16" s="126"/>
      <c r="AT16" s="65">
        <f t="shared" si="6"/>
      </c>
      <c r="AU16" s="126">
        <v>22</v>
      </c>
      <c r="AV16" s="65">
        <f t="shared" si="7"/>
        <v>422.73792</v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(IF(((SUM(AM30:AM32))=0)," ",(AVERAGE(AM30:AM32))))</f>
        <v>13.333333333333334</v>
      </c>
      <c r="CH16" s="106">
        <f>(IF(((SUM(AN30:AN32))=0)," ",(AVERAGE(AN30:AN32))))</f>
        <v>221.55488</v>
      </c>
      <c r="CI16" s="106"/>
      <c r="CJ16" s="106">
        <f>(IF(((SUM(AU30:AU32))=0)," ",(AVERAGE(AU30:AU32))))</f>
        <v>17.333333333333332</v>
      </c>
      <c r="CK16" s="106">
        <f>(IF(((SUM(AV30:AV32))=0)," ",(AVERAGE(AV30:AV32))))</f>
        <v>287.65772</v>
      </c>
      <c r="CL16" s="240"/>
      <c r="CM16" s="152">
        <f>(AVERAGE(AE27:AE33))</f>
        <v>0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5">
        <v>1582774</v>
      </c>
      <c r="D17" s="138">
        <f t="shared" si="0"/>
        <v>2.163</v>
      </c>
      <c r="E17" s="140">
        <v>4</v>
      </c>
      <c r="F17" s="141">
        <v>0.6</v>
      </c>
      <c r="G17" s="81" t="str">
        <f t="shared" si="8"/>
        <v>0.00</v>
      </c>
      <c r="H17" s="85">
        <v>0</v>
      </c>
      <c r="I17" s="86">
        <v>2000</v>
      </c>
      <c r="K17" s="87" t="s">
        <v>210</v>
      </c>
      <c r="L17" s="85">
        <v>19</v>
      </c>
      <c r="M17" s="88">
        <v>0</v>
      </c>
      <c r="O17" s="107"/>
      <c r="Q17" s="108"/>
      <c r="R17" s="153"/>
      <c r="S17" s="109"/>
      <c r="U17" s="93">
        <v>7.5</v>
      </c>
      <c r="V17" s="94">
        <v>7.3</v>
      </c>
      <c r="W17" s="95">
        <v>6.5</v>
      </c>
      <c r="Y17" s="90">
        <v>11</v>
      </c>
      <c r="Z17" s="96">
        <v>9</v>
      </c>
      <c r="AA17" s="92">
        <v>9</v>
      </c>
      <c r="AC17" s="93">
        <v>6.5</v>
      </c>
      <c r="AD17" s="91">
        <v>0.5</v>
      </c>
      <c r="AE17" s="97">
        <v>0.01</v>
      </c>
      <c r="AG17" s="45">
        <f t="shared" si="1"/>
        <v>6</v>
      </c>
      <c r="AI17" s="98">
        <v>293</v>
      </c>
      <c r="AJ17" s="55">
        <f t="shared" si="2"/>
        <v>5285.550059999999</v>
      </c>
      <c r="AK17" s="98"/>
      <c r="AL17" s="55">
        <f t="shared" si="3"/>
      </c>
      <c r="AM17" s="98">
        <v>17</v>
      </c>
      <c r="AN17" s="55">
        <f t="shared" si="4"/>
        <v>306.67013999999995</v>
      </c>
      <c r="AO17" s="110">
        <v>12</v>
      </c>
      <c r="AQ17" s="100">
        <v>222</v>
      </c>
      <c r="AR17" s="55">
        <f t="shared" si="5"/>
        <v>4004.7512399999996</v>
      </c>
      <c r="AS17" s="98"/>
      <c r="AT17" s="55">
        <f t="shared" si="6"/>
      </c>
      <c r="AU17" s="98">
        <v>18</v>
      </c>
      <c r="AV17" s="55">
        <f t="shared" si="7"/>
        <v>324.70955999999995</v>
      </c>
      <c r="AX17" s="100">
        <v>53044</v>
      </c>
      <c r="AY17" s="101">
        <v>3</v>
      </c>
      <c r="AZ17" s="102">
        <v>3</v>
      </c>
      <c r="BA17" s="98">
        <v>27.9</v>
      </c>
      <c r="BB17" s="102">
        <v>26</v>
      </c>
      <c r="BC17" s="98">
        <v>24</v>
      </c>
      <c r="BD17" s="98"/>
      <c r="BE17" s="103"/>
      <c r="BG17" s="100">
        <v>24</v>
      </c>
      <c r="BH17" s="84" t="s">
        <v>212</v>
      </c>
      <c r="BI17" s="104" t="s">
        <v>211</v>
      </c>
      <c r="BK17" s="17"/>
      <c r="BL17" s="19"/>
      <c r="BM17" s="56" t="s">
        <v>111</v>
      </c>
      <c r="BN17" s="20"/>
      <c r="BO17" s="57" t="s">
        <v>130</v>
      </c>
      <c r="BP17" s="26"/>
      <c r="BQ17" s="239" t="s">
        <v>150</v>
      </c>
      <c r="BR17" s="239" t="s">
        <v>150</v>
      </c>
      <c r="BS17" s="239" t="s">
        <v>150</v>
      </c>
      <c r="BT17" s="105"/>
      <c r="BU17" s="146">
        <f>MIN(W12:W42)</f>
        <v>6.3</v>
      </c>
      <c r="BV17" s="239" t="s">
        <v>150</v>
      </c>
      <c r="BW17" s="146">
        <f>MAX(W12:W42)</f>
        <v>7.1</v>
      </c>
      <c r="BX17" s="105" t="s">
        <v>43</v>
      </c>
      <c r="BY17" s="105"/>
      <c r="BZ17" s="105">
        <v>0</v>
      </c>
      <c r="CA17" s="145" t="s">
        <v>48</v>
      </c>
      <c r="CB17" s="105" t="s">
        <v>23</v>
      </c>
      <c r="CC17" s="137"/>
      <c r="CE17" s="69"/>
      <c r="CF17" s="20"/>
      <c r="CG17" s="106"/>
      <c r="CH17" s="106"/>
      <c r="CI17" s="106"/>
      <c r="CJ17" s="106"/>
      <c r="CK17" s="106"/>
      <c r="CL17" s="241"/>
      <c r="CM17" s="152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5">
        <v>1584856</v>
      </c>
      <c r="D18" s="138">
        <f t="shared" si="0"/>
        <v>2.082</v>
      </c>
      <c r="E18" s="140">
        <v>3.8</v>
      </c>
      <c r="F18" s="141">
        <v>0.6</v>
      </c>
      <c r="G18" s="81" t="str">
        <f t="shared" si="8"/>
        <v>0.00</v>
      </c>
      <c r="H18" s="85">
        <v>0</v>
      </c>
      <c r="I18" s="86">
        <v>0</v>
      </c>
      <c r="K18" s="87" t="s">
        <v>208</v>
      </c>
      <c r="L18" s="85">
        <v>24</v>
      </c>
      <c r="M18" s="88">
        <v>0</v>
      </c>
      <c r="O18" s="107"/>
      <c r="Q18" s="108" t="s">
        <v>4</v>
      </c>
      <c r="R18" s="153" t="s">
        <v>4</v>
      </c>
      <c r="S18" s="109" t="s">
        <v>4</v>
      </c>
      <c r="U18" s="93">
        <v>7.3</v>
      </c>
      <c r="V18" s="94">
        <v>7.2</v>
      </c>
      <c r="W18" s="95">
        <v>6.7</v>
      </c>
      <c r="Y18" s="90">
        <v>11</v>
      </c>
      <c r="Z18" s="96">
        <v>10</v>
      </c>
      <c r="AA18" s="92">
        <v>10</v>
      </c>
      <c r="AC18" s="93">
        <v>5</v>
      </c>
      <c r="AD18" s="91">
        <v>0</v>
      </c>
      <c r="AE18" s="97">
        <v>0</v>
      </c>
      <c r="AG18" s="45">
        <f t="shared" si="1"/>
        <v>7</v>
      </c>
      <c r="AI18" s="98">
        <v>243</v>
      </c>
      <c r="AJ18" s="55">
        <f t="shared" si="2"/>
        <v>4219.42284</v>
      </c>
      <c r="AK18" s="98">
        <v>188</v>
      </c>
      <c r="AL18" s="55">
        <f t="shared" si="3"/>
        <v>3264.40944</v>
      </c>
      <c r="AM18" s="98">
        <v>18</v>
      </c>
      <c r="AN18" s="55">
        <f t="shared" si="4"/>
        <v>312.54983999999996</v>
      </c>
      <c r="AO18" s="110">
        <v>14</v>
      </c>
      <c r="AQ18" s="100">
        <v>202</v>
      </c>
      <c r="AR18" s="55">
        <f t="shared" si="5"/>
        <v>3507.5037599999996</v>
      </c>
      <c r="AS18" s="98">
        <v>79</v>
      </c>
      <c r="AT18" s="55">
        <f t="shared" si="6"/>
        <v>1371.74652</v>
      </c>
      <c r="AU18" s="98">
        <v>23</v>
      </c>
      <c r="AV18" s="55">
        <f t="shared" si="7"/>
        <v>399.36923999999993</v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38" t="s">
        <v>150</v>
      </c>
      <c r="BR18" s="238" t="s">
        <v>150</v>
      </c>
      <c r="BS18" s="238" t="s">
        <v>150</v>
      </c>
      <c r="BT18" s="105"/>
      <c r="BU18" s="159">
        <v>6</v>
      </c>
      <c r="BV18" s="238" t="s">
        <v>150</v>
      </c>
      <c r="BW18" s="156">
        <v>8.5</v>
      </c>
      <c r="BX18" s="156" t="s">
        <v>43</v>
      </c>
      <c r="BY18" s="105"/>
      <c r="BZ18" s="238" t="s">
        <v>150</v>
      </c>
      <c r="CA18" s="158" t="s">
        <v>48</v>
      </c>
      <c r="CB18" s="156" t="s">
        <v>23</v>
      </c>
      <c r="CC18" s="137"/>
      <c r="CE18" s="69"/>
      <c r="CF18" s="20" t="s">
        <v>141</v>
      </c>
      <c r="CG18" s="106">
        <f>(IF(((SUM(AM37:AM39))=0)," ",(AVERAGE(AM37:AM39))))</f>
        <v>13</v>
      </c>
      <c r="CH18" s="106">
        <f>(IF(((SUM(AN37:AN39))=0)," ",(AVERAGE(AN37:AN39))))</f>
        <v>233.66455999999997</v>
      </c>
      <c r="CI18" s="106"/>
      <c r="CJ18" s="106">
        <f>(IF(((SUM(AU37:AU39))=0)," ",(AVERAGE(AU37:AU39))))</f>
        <v>20</v>
      </c>
      <c r="CK18" s="106">
        <f>(IF(((SUM(AV37:AV39))=0)," ",(AVERAGE(AV37:AV39))))</f>
        <v>359.57076</v>
      </c>
      <c r="CL18" s="241"/>
      <c r="CM18" s="152">
        <f>(AVERAGE(AE34:AE39))</f>
        <v>0.0016666666666666668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5">
        <v>1586866</v>
      </c>
      <c r="D19" s="138">
        <f t="shared" si="0"/>
        <v>2.01</v>
      </c>
      <c r="E19" s="140">
        <v>3.7</v>
      </c>
      <c r="F19" s="141">
        <v>0.6</v>
      </c>
      <c r="G19" s="81" t="str">
        <f t="shared" si="8"/>
        <v>0.00</v>
      </c>
      <c r="H19" s="85">
        <v>0</v>
      </c>
      <c r="I19" s="86">
        <v>0</v>
      </c>
      <c r="K19" s="87" t="s">
        <v>208</v>
      </c>
      <c r="L19" s="85">
        <v>18</v>
      </c>
      <c r="M19" s="88">
        <v>0.15</v>
      </c>
      <c r="O19" s="107"/>
      <c r="Q19" s="108"/>
      <c r="R19" s="153"/>
      <c r="S19" s="109"/>
      <c r="U19" s="93">
        <v>7.4</v>
      </c>
      <c r="V19" s="94">
        <v>7.2</v>
      </c>
      <c r="W19" s="95">
        <v>6.4</v>
      </c>
      <c r="Y19" s="90">
        <v>10</v>
      </c>
      <c r="Z19" s="96">
        <v>9</v>
      </c>
      <c r="AA19" s="92">
        <v>8</v>
      </c>
      <c r="AC19" s="93">
        <v>10</v>
      </c>
      <c r="AD19" s="91">
        <v>0</v>
      </c>
      <c r="AE19" s="97">
        <v>0</v>
      </c>
      <c r="AG19" s="45">
        <f t="shared" si="1"/>
        <v>8</v>
      </c>
      <c r="AI19" s="98"/>
      <c r="AJ19" s="55">
        <f t="shared" si="2"/>
      </c>
      <c r="AK19" s="98"/>
      <c r="AL19" s="55">
        <f t="shared" si="3"/>
      </c>
      <c r="AM19" s="98"/>
      <c r="AN19" s="55">
        <f t="shared" si="4"/>
      </c>
      <c r="AO19" s="110"/>
      <c r="AQ19" s="100"/>
      <c r="AR19" s="55">
        <f t="shared" si="5"/>
      </c>
      <c r="AS19" s="98"/>
      <c r="AT19" s="55">
        <f t="shared" si="6"/>
      </c>
      <c r="AU19" s="98"/>
      <c r="AV19" s="55">
        <f t="shared" si="7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6"/>
      <c r="CH19" s="106"/>
      <c r="CI19" s="106"/>
      <c r="CJ19" s="106"/>
      <c r="CK19" s="106"/>
      <c r="CL19" s="241"/>
      <c r="CM19" s="152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5">
        <v>1588825</v>
      </c>
      <c r="D20" s="138">
        <f t="shared" si="0"/>
        <v>1.959</v>
      </c>
      <c r="E20" s="140">
        <v>4</v>
      </c>
      <c r="F20" s="141">
        <v>0.6</v>
      </c>
      <c r="G20" s="81" t="str">
        <f t="shared" si="8"/>
        <v>0.00</v>
      </c>
      <c r="H20" s="85">
        <v>1000</v>
      </c>
      <c r="I20" s="86">
        <v>0</v>
      </c>
      <c r="K20" s="87" t="s">
        <v>208</v>
      </c>
      <c r="L20" s="85">
        <v>24</v>
      </c>
      <c r="M20" s="88">
        <v>0.02</v>
      </c>
      <c r="O20" s="107"/>
      <c r="Q20" s="108"/>
      <c r="R20" s="153"/>
      <c r="S20" s="109"/>
      <c r="U20" s="93">
        <v>7.2</v>
      </c>
      <c r="V20" s="94">
        <v>7.2</v>
      </c>
      <c r="W20" s="95">
        <v>6.7</v>
      </c>
      <c r="Y20" s="90">
        <v>10</v>
      </c>
      <c r="Z20" s="96">
        <v>10</v>
      </c>
      <c r="AA20" s="92">
        <v>9</v>
      </c>
      <c r="AC20" s="93">
        <v>8</v>
      </c>
      <c r="AD20" s="91">
        <v>0</v>
      </c>
      <c r="AE20" s="97">
        <v>0</v>
      </c>
      <c r="AG20" s="45">
        <f t="shared" si="1"/>
        <v>9</v>
      </c>
      <c r="AI20" s="98"/>
      <c r="AJ20" s="55">
        <f t="shared" si="2"/>
      </c>
      <c r="AK20" s="98"/>
      <c r="AL20" s="55">
        <f t="shared" si="3"/>
      </c>
      <c r="AM20" s="98"/>
      <c r="AN20" s="55">
        <f t="shared" si="4"/>
      </c>
      <c r="AO20" s="110"/>
      <c r="AQ20" s="100"/>
      <c r="AR20" s="55">
        <f t="shared" si="5"/>
      </c>
      <c r="AS20" s="98"/>
      <c r="AT20" s="55">
        <f t="shared" si="6"/>
      </c>
      <c r="AU20" s="98"/>
      <c r="AV20" s="55">
        <f t="shared" si="7"/>
      </c>
      <c r="AX20" s="100"/>
      <c r="AY20" s="101"/>
      <c r="AZ20" s="102"/>
      <c r="BA20" s="98"/>
      <c r="BB20" s="102"/>
      <c r="BC20" s="98"/>
      <c r="BD20" s="98"/>
      <c r="BE20" s="103"/>
      <c r="BG20" s="100"/>
      <c r="BH20" s="84"/>
      <c r="BI20" s="104"/>
      <c r="CE20" s="69"/>
      <c r="CF20" s="20" t="s">
        <v>142</v>
      </c>
      <c r="CG20" s="106"/>
      <c r="CH20" s="106"/>
      <c r="CI20" s="106"/>
      <c r="CJ20" s="106"/>
      <c r="CK20" s="106"/>
      <c r="CL20" s="241"/>
      <c r="CM20" s="152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3">
        <v>1590796</v>
      </c>
      <c r="D21" s="139">
        <f t="shared" si="0"/>
        <v>1.971</v>
      </c>
      <c r="E21" s="142">
        <v>4</v>
      </c>
      <c r="F21" s="143">
        <v>0.6</v>
      </c>
      <c r="G21" s="184" t="str">
        <f t="shared" si="8"/>
        <v>0.00</v>
      </c>
      <c r="H21" s="113">
        <v>3500</v>
      </c>
      <c r="I21" s="114">
        <v>3750</v>
      </c>
      <c r="K21" s="115" t="s">
        <v>208</v>
      </c>
      <c r="L21" s="113">
        <v>24</v>
      </c>
      <c r="M21" s="116">
        <v>0</v>
      </c>
      <c r="O21" s="117"/>
      <c r="Q21" s="108"/>
      <c r="R21" s="153"/>
      <c r="S21" s="109"/>
      <c r="U21" s="118">
        <v>7.4</v>
      </c>
      <c r="V21" s="119">
        <v>7.2</v>
      </c>
      <c r="W21" s="120">
        <v>6.8</v>
      </c>
      <c r="Y21" s="121">
        <v>11</v>
      </c>
      <c r="Z21" s="122">
        <v>10</v>
      </c>
      <c r="AA21" s="123">
        <v>10</v>
      </c>
      <c r="AC21" s="118">
        <v>5.5</v>
      </c>
      <c r="AD21" s="124">
        <v>0.01</v>
      </c>
      <c r="AE21" s="125">
        <v>0</v>
      </c>
      <c r="AG21" s="45">
        <f t="shared" si="1"/>
        <v>10</v>
      </c>
      <c r="AI21" s="126"/>
      <c r="AJ21" s="65">
        <f t="shared" si="2"/>
      </c>
      <c r="AK21" s="126"/>
      <c r="AL21" s="65">
        <f t="shared" si="3"/>
      </c>
      <c r="AM21" s="126"/>
      <c r="AN21" s="65">
        <f t="shared" si="4"/>
      </c>
      <c r="AO21" s="127"/>
      <c r="AQ21" s="128"/>
      <c r="AR21" s="65">
        <f t="shared" si="5"/>
      </c>
      <c r="AS21" s="126"/>
      <c r="AT21" s="65">
        <f t="shared" si="6"/>
      </c>
      <c r="AU21" s="126"/>
      <c r="AV21" s="65">
        <f t="shared" si="7"/>
      </c>
      <c r="AX21" s="128">
        <v>52384</v>
      </c>
      <c r="AY21" s="129">
        <v>3</v>
      </c>
      <c r="AZ21" s="130">
        <v>3.25</v>
      </c>
      <c r="BA21" s="126">
        <v>24.8</v>
      </c>
      <c r="BB21" s="130">
        <v>28</v>
      </c>
      <c r="BC21" s="126">
        <v>24</v>
      </c>
      <c r="BD21" s="126"/>
      <c r="BE21" s="131"/>
      <c r="BG21" s="128">
        <v>24</v>
      </c>
      <c r="BH21" s="111" t="s">
        <v>212</v>
      </c>
      <c r="BI21" s="132" t="s">
        <v>211</v>
      </c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5">
        <v>1593017</v>
      </c>
      <c r="D22" s="138">
        <f t="shared" si="0"/>
        <v>2.221</v>
      </c>
      <c r="E22" s="140">
        <v>3.6</v>
      </c>
      <c r="F22" s="141">
        <v>0.6</v>
      </c>
      <c r="G22" s="81" t="str">
        <f t="shared" si="8"/>
        <v>0.00</v>
      </c>
      <c r="H22" s="85">
        <v>2600</v>
      </c>
      <c r="I22" s="86">
        <v>2500</v>
      </c>
      <c r="K22" s="87" t="s">
        <v>208</v>
      </c>
      <c r="L22" s="85">
        <v>16</v>
      </c>
      <c r="M22" s="88">
        <v>0</v>
      </c>
      <c r="O22" s="107"/>
      <c r="Q22" s="108" t="s">
        <v>4</v>
      </c>
      <c r="R22" s="153" t="s">
        <v>4</v>
      </c>
      <c r="S22" s="109" t="s">
        <v>4</v>
      </c>
      <c r="U22" s="93">
        <v>7.2</v>
      </c>
      <c r="V22" s="94">
        <v>7.2</v>
      </c>
      <c r="W22" s="95">
        <v>6.9</v>
      </c>
      <c r="Y22" s="90">
        <v>11</v>
      </c>
      <c r="Z22" s="96">
        <v>9</v>
      </c>
      <c r="AA22" s="92">
        <v>9</v>
      </c>
      <c r="AC22" s="93">
        <v>5.5</v>
      </c>
      <c r="AD22" s="91">
        <v>0.01</v>
      </c>
      <c r="AE22" s="97">
        <v>0</v>
      </c>
      <c r="AG22" s="45">
        <f t="shared" si="1"/>
        <v>11</v>
      </c>
      <c r="AI22" s="98"/>
      <c r="AJ22" s="55">
        <f t="shared" si="2"/>
      </c>
      <c r="AK22" s="98"/>
      <c r="AL22" s="55">
        <f t="shared" si="3"/>
      </c>
      <c r="AM22" s="98"/>
      <c r="AN22" s="55">
        <f t="shared" si="4"/>
      </c>
      <c r="AO22" s="110"/>
      <c r="AQ22" s="100"/>
      <c r="AR22" s="55">
        <f t="shared" si="5"/>
      </c>
      <c r="AS22" s="98"/>
      <c r="AT22" s="55">
        <f t="shared" si="6"/>
      </c>
      <c r="AU22" s="98"/>
      <c r="AV22" s="55">
        <f t="shared" si="7"/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50">
        <f>(IF(((SUM(AV12:AV42))=0)," ",(AVERAGE(AV12:AV42))))</f>
        <v>326.66946</v>
      </c>
      <c r="BR22" s="150">
        <f>MAX(AV12:AV42)</f>
        <v>422.73792</v>
      </c>
      <c r="BS22" s="105" t="s">
        <v>126</v>
      </c>
      <c r="BT22" s="105"/>
      <c r="BU22" s="150">
        <f>(IF(((SUM(AU12:AU42))=0)," ",(AVERAGE(AU12:AU42))))</f>
        <v>18.583333333333332</v>
      </c>
      <c r="BV22" s="144">
        <f>(CJ23)</f>
        <v>21</v>
      </c>
      <c r="BW22" s="150">
        <f>MAX(AU12:AU42)</f>
        <v>23</v>
      </c>
      <c r="BX22" s="105" t="s">
        <v>128</v>
      </c>
      <c r="BY22" s="105"/>
      <c r="BZ22" s="105">
        <v>0</v>
      </c>
      <c r="CA22" s="145" t="s">
        <v>47</v>
      </c>
      <c r="CB22" s="105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5">
        <v>1595069</v>
      </c>
      <c r="D23" s="138">
        <f t="shared" si="0"/>
        <v>2.052</v>
      </c>
      <c r="E23" s="140">
        <v>3.5</v>
      </c>
      <c r="F23" s="141">
        <v>0.8</v>
      </c>
      <c r="G23" s="81" t="str">
        <f t="shared" si="8"/>
        <v>0.00</v>
      </c>
      <c r="H23" s="85">
        <v>0</v>
      </c>
      <c r="I23" s="86">
        <v>1000</v>
      </c>
      <c r="K23" s="87" t="s">
        <v>210</v>
      </c>
      <c r="L23" s="85">
        <v>9</v>
      </c>
      <c r="M23" s="88">
        <v>0.02</v>
      </c>
      <c r="O23" s="107"/>
      <c r="Q23" s="108"/>
      <c r="R23" s="153"/>
      <c r="S23" s="109"/>
      <c r="U23" s="93">
        <v>7.6</v>
      </c>
      <c r="V23" s="94">
        <v>7.3</v>
      </c>
      <c r="W23" s="95">
        <v>6.6</v>
      </c>
      <c r="Y23" s="90">
        <v>11</v>
      </c>
      <c r="Z23" s="96">
        <v>10</v>
      </c>
      <c r="AA23" s="92">
        <v>9</v>
      </c>
      <c r="AC23" s="93">
        <v>9</v>
      </c>
      <c r="AD23" s="91">
        <v>0.01</v>
      </c>
      <c r="AE23" s="97">
        <v>0</v>
      </c>
      <c r="AG23" s="45">
        <f t="shared" si="1"/>
        <v>12</v>
      </c>
      <c r="AI23" s="98">
        <v>218</v>
      </c>
      <c r="AJ23" s="55">
        <f t="shared" si="2"/>
        <v>3730.78224</v>
      </c>
      <c r="AK23" s="98"/>
      <c r="AL23" s="55">
        <f t="shared" si="3"/>
      </c>
      <c r="AM23" s="98">
        <v>14</v>
      </c>
      <c r="AN23" s="55">
        <f t="shared" si="4"/>
        <v>239.59152</v>
      </c>
      <c r="AO23" s="110">
        <v>11</v>
      </c>
      <c r="AQ23" s="100">
        <v>223</v>
      </c>
      <c r="AR23" s="55">
        <f t="shared" si="5"/>
        <v>3816.35064</v>
      </c>
      <c r="AS23" s="98"/>
      <c r="AT23" s="55">
        <f t="shared" si="6"/>
      </c>
      <c r="AU23" s="98">
        <v>17</v>
      </c>
      <c r="AV23" s="55">
        <f t="shared" si="7"/>
        <v>290.93256</v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37">
        <v>963</v>
      </c>
      <c r="BR23" s="237">
        <v>1605</v>
      </c>
      <c r="BS23" s="156" t="s">
        <v>126</v>
      </c>
      <c r="BT23" s="105"/>
      <c r="BU23" s="237">
        <v>30</v>
      </c>
      <c r="BV23" s="157">
        <v>45</v>
      </c>
      <c r="BW23" s="237">
        <v>50</v>
      </c>
      <c r="BX23" s="156" t="s">
        <v>128</v>
      </c>
      <c r="BY23" s="105"/>
      <c r="BZ23" s="238" t="s">
        <v>150</v>
      </c>
      <c r="CA23" s="158" t="s">
        <v>47</v>
      </c>
      <c r="CB23" s="156">
        <v>24</v>
      </c>
      <c r="CC23" s="137"/>
      <c r="CE23" s="69"/>
      <c r="CF23" s="72" t="s">
        <v>53</v>
      </c>
      <c r="CG23" s="150">
        <f>(IF(((SUM(CG12:CG20))=0)," ",(MAX(CG12:CG20))))</f>
        <v>17.666666666666668</v>
      </c>
      <c r="CH23" s="150">
        <f>(IF(((SUM(CH12:CH20))=0)," ",(MAX(CH12:CH20))))</f>
        <v>321.6988199999999</v>
      </c>
      <c r="CI23" s="186"/>
      <c r="CJ23" s="150">
        <f>(IF(((SUM(CJ12:CJ20))=0)," ",(MAX(CJ12:CJ20))))</f>
        <v>21</v>
      </c>
      <c r="CK23" s="150">
        <f>(IF(((SUM(CK12:CK20))=0)," ",(MAX(CK12:CK20))))</f>
        <v>382.27223999999995</v>
      </c>
      <c r="CL23" s="71"/>
      <c r="CM23" s="280">
        <f>(MAX(CM12:CM20))</f>
        <v>0.00375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5">
        <v>1597145</v>
      </c>
      <c r="D24" s="138">
        <f t="shared" si="0"/>
        <v>2.076</v>
      </c>
      <c r="E24" s="140">
        <v>3.6</v>
      </c>
      <c r="F24" s="141">
        <v>0.8</v>
      </c>
      <c r="G24" s="81" t="str">
        <f t="shared" si="8"/>
        <v>0.00</v>
      </c>
      <c r="H24" s="85">
        <v>1700</v>
      </c>
      <c r="I24" s="86">
        <v>750</v>
      </c>
      <c r="K24" s="87" t="s">
        <v>210</v>
      </c>
      <c r="L24" s="85">
        <v>3</v>
      </c>
      <c r="M24" s="88">
        <v>0</v>
      </c>
      <c r="O24" s="107"/>
      <c r="Q24" s="108" t="s">
        <v>10</v>
      </c>
      <c r="R24" s="153" t="s">
        <v>10</v>
      </c>
      <c r="S24" s="109" t="s">
        <v>10</v>
      </c>
      <c r="U24" s="93">
        <v>7.3</v>
      </c>
      <c r="V24" s="94">
        <v>7.2</v>
      </c>
      <c r="W24" s="95">
        <v>6.6</v>
      </c>
      <c r="Y24" s="90">
        <v>11</v>
      </c>
      <c r="Z24" s="96">
        <v>10</v>
      </c>
      <c r="AA24" s="92">
        <v>9</v>
      </c>
      <c r="AC24" s="93">
        <v>4</v>
      </c>
      <c r="AD24" s="91">
        <v>0.01</v>
      </c>
      <c r="AE24" s="97">
        <v>0</v>
      </c>
      <c r="AG24" s="45">
        <f t="shared" si="1"/>
        <v>13</v>
      </c>
      <c r="AI24" s="98">
        <v>248</v>
      </c>
      <c r="AJ24" s="55">
        <f t="shared" si="2"/>
        <v>4293.83232</v>
      </c>
      <c r="AK24" s="98"/>
      <c r="AL24" s="55">
        <f t="shared" si="3"/>
      </c>
      <c r="AM24" s="98">
        <v>13</v>
      </c>
      <c r="AN24" s="55">
        <f t="shared" si="4"/>
        <v>225.07992</v>
      </c>
      <c r="AO24" s="110">
        <v>10</v>
      </c>
      <c r="AQ24" s="100">
        <v>174</v>
      </c>
      <c r="AR24" s="55">
        <f t="shared" si="5"/>
        <v>3012.6081599999998</v>
      </c>
      <c r="AS24" s="98"/>
      <c r="AT24" s="55">
        <f t="shared" si="6"/>
      </c>
      <c r="AU24" s="98">
        <v>15</v>
      </c>
      <c r="AV24" s="55">
        <f t="shared" si="7"/>
        <v>259.7076</v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5">
        <v>1599250</v>
      </c>
      <c r="D25" s="138">
        <f t="shared" si="0"/>
        <v>2.105</v>
      </c>
      <c r="E25" s="140">
        <v>3.9</v>
      </c>
      <c r="F25" s="141">
        <v>0.8</v>
      </c>
      <c r="G25" s="81" t="str">
        <f t="shared" si="8"/>
        <v>0.00</v>
      </c>
      <c r="H25" s="85">
        <v>0</v>
      </c>
      <c r="I25" s="86">
        <v>0</v>
      </c>
      <c r="K25" s="87" t="s">
        <v>210</v>
      </c>
      <c r="L25" s="85">
        <v>-1</v>
      </c>
      <c r="M25" s="88">
        <v>0</v>
      </c>
      <c r="O25" s="107"/>
      <c r="Q25" s="108"/>
      <c r="R25" s="153"/>
      <c r="S25" s="109"/>
      <c r="U25" s="93">
        <v>7.3</v>
      </c>
      <c r="V25" s="94">
        <v>7.2</v>
      </c>
      <c r="W25" s="95">
        <v>6.7</v>
      </c>
      <c r="Y25" s="90">
        <v>11</v>
      </c>
      <c r="Z25" s="96">
        <v>10</v>
      </c>
      <c r="AA25" s="92">
        <v>9</v>
      </c>
      <c r="AC25" s="93">
        <v>10</v>
      </c>
      <c r="AD25" s="91">
        <v>0.01</v>
      </c>
      <c r="AE25" s="97">
        <v>0</v>
      </c>
      <c r="AG25" s="45">
        <f t="shared" si="1"/>
        <v>14</v>
      </c>
      <c r="AI25" s="98">
        <v>280</v>
      </c>
      <c r="AJ25" s="55">
        <f t="shared" si="2"/>
        <v>4915.596</v>
      </c>
      <c r="AK25" s="98"/>
      <c r="AL25" s="55">
        <f t="shared" si="3"/>
      </c>
      <c r="AM25" s="98">
        <v>18</v>
      </c>
      <c r="AN25" s="55">
        <f t="shared" si="4"/>
        <v>316.0026</v>
      </c>
      <c r="AO25" s="110">
        <v>14</v>
      </c>
      <c r="AQ25" s="100">
        <v>208</v>
      </c>
      <c r="AR25" s="55">
        <f t="shared" si="5"/>
        <v>3651.5856</v>
      </c>
      <c r="AS25" s="98"/>
      <c r="AT25" s="55">
        <f t="shared" si="6"/>
      </c>
      <c r="AU25" s="98">
        <v>16</v>
      </c>
      <c r="AV25" s="55">
        <f t="shared" si="7"/>
        <v>280.89119999999997</v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3">
        <v>1601368</v>
      </c>
      <c r="D26" s="139">
        <f t="shared" si="0"/>
        <v>2.118</v>
      </c>
      <c r="E26" s="142">
        <v>4</v>
      </c>
      <c r="F26" s="143">
        <v>0.8</v>
      </c>
      <c r="G26" s="184" t="str">
        <f t="shared" si="8"/>
        <v>0.00</v>
      </c>
      <c r="H26" s="113">
        <v>0</v>
      </c>
      <c r="I26" s="114">
        <v>0</v>
      </c>
      <c r="K26" s="115" t="s">
        <v>210</v>
      </c>
      <c r="L26" s="113">
        <v>-0.1</v>
      </c>
      <c r="M26" s="116">
        <v>0</v>
      </c>
      <c r="O26" s="117"/>
      <c r="Q26" s="108" t="s">
        <v>11</v>
      </c>
      <c r="R26" s="153" t="s">
        <v>11</v>
      </c>
      <c r="S26" s="109" t="s">
        <v>11</v>
      </c>
      <c r="U26" s="118">
        <v>6.9</v>
      </c>
      <c r="V26" s="119">
        <v>6.9</v>
      </c>
      <c r="W26" s="120">
        <v>6.4</v>
      </c>
      <c r="Y26" s="121">
        <v>10</v>
      </c>
      <c r="Z26" s="122">
        <v>9</v>
      </c>
      <c r="AA26" s="123">
        <v>9</v>
      </c>
      <c r="AC26" s="118">
        <v>5</v>
      </c>
      <c r="AD26" s="124">
        <v>0</v>
      </c>
      <c r="AE26" s="125">
        <v>0</v>
      </c>
      <c r="AG26" s="45">
        <f t="shared" si="1"/>
        <v>15</v>
      </c>
      <c r="AI26" s="126"/>
      <c r="AJ26" s="65">
        <f t="shared" si="2"/>
      </c>
      <c r="AK26" s="126"/>
      <c r="AL26" s="65">
        <f t="shared" si="3"/>
      </c>
      <c r="AM26" s="126"/>
      <c r="AN26" s="65">
        <f t="shared" si="4"/>
      </c>
      <c r="AO26" s="127"/>
      <c r="AQ26" s="128"/>
      <c r="AR26" s="65">
        <f t="shared" si="5"/>
      </c>
      <c r="AS26" s="126"/>
      <c r="AT26" s="65">
        <f t="shared" si="6"/>
      </c>
      <c r="AU26" s="126"/>
      <c r="AV26" s="65">
        <f t="shared" si="7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5">
        <v>1603377</v>
      </c>
      <c r="D27" s="138">
        <f t="shared" si="0"/>
        <v>2.009</v>
      </c>
      <c r="E27" s="140">
        <v>3.9</v>
      </c>
      <c r="F27" s="141">
        <v>0.8</v>
      </c>
      <c r="G27" s="81" t="str">
        <f t="shared" si="8"/>
        <v>0.00</v>
      </c>
      <c r="H27" s="85">
        <v>0</v>
      </c>
      <c r="I27" s="86">
        <v>0</v>
      </c>
      <c r="K27" s="87" t="s">
        <v>210</v>
      </c>
      <c r="L27" s="85">
        <v>4</v>
      </c>
      <c r="M27" s="88">
        <v>0</v>
      </c>
      <c r="O27" s="107"/>
      <c r="Q27" s="108"/>
      <c r="R27" s="153"/>
      <c r="S27" s="109"/>
      <c r="U27" s="93">
        <v>7.3</v>
      </c>
      <c r="V27" s="94">
        <v>7.2</v>
      </c>
      <c r="W27" s="95">
        <v>6.7</v>
      </c>
      <c r="Y27" s="90">
        <v>10</v>
      </c>
      <c r="Z27" s="96">
        <v>9</v>
      </c>
      <c r="AA27" s="92">
        <v>9</v>
      </c>
      <c r="AC27" s="93">
        <v>5.5</v>
      </c>
      <c r="AD27" s="91">
        <v>0.01</v>
      </c>
      <c r="AE27" s="97">
        <v>0</v>
      </c>
      <c r="AG27" s="45">
        <f t="shared" si="1"/>
        <v>16</v>
      </c>
      <c r="AI27" s="98"/>
      <c r="AJ27" s="55">
        <f t="shared" si="2"/>
      </c>
      <c r="AK27" s="98"/>
      <c r="AL27" s="55">
        <f t="shared" si="3"/>
      </c>
      <c r="AM27" s="98"/>
      <c r="AN27" s="55">
        <f t="shared" si="4"/>
      </c>
      <c r="AO27" s="110"/>
      <c r="AQ27" s="100"/>
      <c r="AR27" s="55">
        <f t="shared" si="5"/>
      </c>
      <c r="AS27" s="98"/>
      <c r="AT27" s="55">
        <f t="shared" si="6"/>
      </c>
      <c r="AU27" s="98"/>
      <c r="AV27" s="55">
        <f t="shared" si="7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5">
        <v>1605292</v>
      </c>
      <c r="D28" s="138">
        <f t="shared" si="0"/>
        <v>1.915</v>
      </c>
      <c r="E28" s="140">
        <v>3.6</v>
      </c>
      <c r="F28" s="141">
        <v>0.6</v>
      </c>
      <c r="G28" s="81" t="str">
        <f t="shared" si="8"/>
        <v>0.00</v>
      </c>
      <c r="H28" s="85">
        <v>0</v>
      </c>
      <c r="I28" s="86">
        <v>0</v>
      </c>
      <c r="K28" s="87" t="s">
        <v>208</v>
      </c>
      <c r="L28" s="85">
        <v>9</v>
      </c>
      <c r="M28" s="88">
        <v>0</v>
      </c>
      <c r="O28" s="107"/>
      <c r="Q28" s="108"/>
      <c r="R28" s="153"/>
      <c r="S28" s="109"/>
      <c r="U28" s="93">
        <v>7.4</v>
      </c>
      <c r="V28" s="94">
        <v>7.2</v>
      </c>
      <c r="W28" s="95">
        <v>7</v>
      </c>
      <c r="Y28" s="90">
        <v>10</v>
      </c>
      <c r="Z28" s="96">
        <v>9</v>
      </c>
      <c r="AA28" s="92">
        <v>9</v>
      </c>
      <c r="AC28" s="93">
        <v>4</v>
      </c>
      <c r="AD28" s="91">
        <v>0.01</v>
      </c>
      <c r="AE28" s="97">
        <v>0</v>
      </c>
      <c r="AG28" s="45">
        <f t="shared" si="1"/>
        <v>17</v>
      </c>
      <c r="AI28" s="98"/>
      <c r="AJ28" s="55">
        <f t="shared" si="2"/>
      </c>
      <c r="AK28" s="98"/>
      <c r="AL28" s="55">
        <f t="shared" si="3"/>
      </c>
      <c r="AM28" s="98"/>
      <c r="AN28" s="55">
        <f t="shared" si="4"/>
      </c>
      <c r="AO28" s="110"/>
      <c r="AQ28" s="100"/>
      <c r="AR28" s="55">
        <f t="shared" si="5"/>
      </c>
      <c r="AS28" s="98"/>
      <c r="AT28" s="55">
        <f t="shared" si="6"/>
      </c>
      <c r="AU28" s="98"/>
      <c r="AV28" s="55">
        <f t="shared" si="7"/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39" t="s">
        <v>150</v>
      </c>
      <c r="BR28" s="239" t="s">
        <v>150</v>
      </c>
      <c r="BS28" s="239" t="s">
        <v>150</v>
      </c>
      <c r="BT28" s="239"/>
      <c r="BU28" s="239" t="s">
        <v>150</v>
      </c>
      <c r="BV28" s="147">
        <f>(CM23)</f>
        <v>0.00375</v>
      </c>
      <c r="BW28" s="147">
        <f>MAX(AE12:AE42)</f>
        <v>0.01</v>
      </c>
      <c r="BX28" s="105" t="s">
        <v>128</v>
      </c>
      <c r="BY28" s="105"/>
      <c r="BZ28" s="105">
        <v>0</v>
      </c>
      <c r="CA28" s="145" t="s">
        <v>48</v>
      </c>
      <c r="CB28" s="105" t="s">
        <v>23</v>
      </c>
      <c r="CC28" s="137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5">
        <v>1607249</v>
      </c>
      <c r="D29" s="138">
        <f t="shared" si="0"/>
        <v>1.957</v>
      </c>
      <c r="E29" s="140">
        <v>4.2</v>
      </c>
      <c r="F29" s="141">
        <v>0.6</v>
      </c>
      <c r="G29" s="81" t="str">
        <f t="shared" si="8"/>
        <v>0.00</v>
      </c>
      <c r="H29" s="85">
        <v>0</v>
      </c>
      <c r="I29" s="86">
        <v>0</v>
      </c>
      <c r="K29" s="87" t="s">
        <v>208</v>
      </c>
      <c r="L29" s="85">
        <v>18</v>
      </c>
      <c r="M29" s="88">
        <v>0</v>
      </c>
      <c r="O29" s="107"/>
      <c r="Q29" s="108"/>
      <c r="R29" s="153"/>
      <c r="S29" s="109"/>
      <c r="U29" s="93">
        <v>7.4</v>
      </c>
      <c r="V29" s="94">
        <v>7.1</v>
      </c>
      <c r="W29" s="95">
        <v>6.8</v>
      </c>
      <c r="Y29" s="90">
        <v>13</v>
      </c>
      <c r="Z29" s="96">
        <v>11</v>
      </c>
      <c r="AA29" s="92">
        <v>11</v>
      </c>
      <c r="AC29" s="93">
        <v>6</v>
      </c>
      <c r="AD29" s="91">
        <v>0</v>
      </c>
      <c r="AE29" s="97">
        <v>0</v>
      </c>
      <c r="AG29" s="45">
        <f t="shared" si="1"/>
        <v>18</v>
      </c>
      <c r="AI29" s="98"/>
      <c r="AJ29" s="55">
        <f t="shared" si="2"/>
      </c>
      <c r="AK29" s="98"/>
      <c r="AL29" s="55">
        <f t="shared" si="3"/>
      </c>
      <c r="AM29" s="98"/>
      <c r="AN29" s="55">
        <f t="shared" si="4"/>
      </c>
      <c r="AO29" s="110"/>
      <c r="AQ29" s="100"/>
      <c r="AR29" s="55">
        <f t="shared" si="5"/>
      </c>
      <c r="AS29" s="98"/>
      <c r="AT29" s="55">
        <f t="shared" si="6"/>
      </c>
      <c r="AU29" s="98"/>
      <c r="AV29" s="55">
        <f t="shared" si="7"/>
      </c>
      <c r="AX29" s="100">
        <v>56991</v>
      </c>
      <c r="AY29" s="101">
        <v>3</v>
      </c>
      <c r="AZ29" s="102">
        <v>3.25</v>
      </c>
      <c r="BA29" s="98">
        <v>31</v>
      </c>
      <c r="BB29" s="102">
        <v>27</v>
      </c>
      <c r="BC29" s="98">
        <v>24</v>
      </c>
      <c r="BD29" s="98"/>
      <c r="BE29" s="103"/>
      <c r="BG29" s="100">
        <v>24</v>
      </c>
      <c r="BH29" s="84" t="s">
        <v>212</v>
      </c>
      <c r="BI29" s="104" t="s">
        <v>211</v>
      </c>
      <c r="BK29" s="17"/>
      <c r="BL29" s="19"/>
      <c r="BM29" s="26" t="s">
        <v>86</v>
      </c>
      <c r="BN29" s="20"/>
      <c r="BO29" s="154" t="s">
        <v>131</v>
      </c>
      <c r="BP29" s="26"/>
      <c r="BQ29" s="238" t="s">
        <v>150</v>
      </c>
      <c r="BR29" s="238" t="s">
        <v>150</v>
      </c>
      <c r="BS29" s="238" t="s">
        <v>150</v>
      </c>
      <c r="BT29" s="239"/>
      <c r="BU29" s="238" t="s">
        <v>150</v>
      </c>
      <c r="BV29" s="156" t="s">
        <v>146</v>
      </c>
      <c r="BW29" s="156">
        <v>0.3</v>
      </c>
      <c r="BX29" s="156" t="s">
        <v>128</v>
      </c>
      <c r="BY29" s="105"/>
      <c r="BZ29" s="238" t="s">
        <v>150</v>
      </c>
      <c r="CA29" s="158" t="s">
        <v>48</v>
      </c>
      <c r="CB29" s="156" t="s">
        <v>23</v>
      </c>
      <c r="CC29" s="137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5">
        <v>1609205</v>
      </c>
      <c r="D30" s="138">
        <f t="shared" si="0"/>
        <v>1.956</v>
      </c>
      <c r="E30" s="140">
        <v>4.3</v>
      </c>
      <c r="F30" s="141">
        <v>0.7</v>
      </c>
      <c r="G30" s="81" t="str">
        <f t="shared" si="8"/>
        <v>0.00</v>
      </c>
      <c r="H30" s="85">
        <v>0</v>
      </c>
      <c r="I30" s="86">
        <v>0</v>
      </c>
      <c r="K30" s="87" t="s">
        <v>210</v>
      </c>
      <c r="L30" s="85">
        <v>27</v>
      </c>
      <c r="M30" s="88">
        <v>0.24</v>
      </c>
      <c r="O30" s="107"/>
      <c r="Q30" s="108" t="s">
        <v>12</v>
      </c>
      <c r="R30" s="153" t="s">
        <v>12</v>
      </c>
      <c r="S30" s="109" t="s">
        <v>12</v>
      </c>
      <c r="U30" s="93">
        <v>7.4</v>
      </c>
      <c r="V30" s="94">
        <v>7.2</v>
      </c>
      <c r="W30" s="95">
        <v>7</v>
      </c>
      <c r="Y30" s="90">
        <v>11</v>
      </c>
      <c r="Z30" s="96">
        <v>10</v>
      </c>
      <c r="AA30" s="92">
        <v>9</v>
      </c>
      <c r="AC30" s="93">
        <v>8</v>
      </c>
      <c r="AD30" s="91">
        <v>0.01</v>
      </c>
      <c r="AE30" s="97">
        <v>0</v>
      </c>
      <c r="AG30" s="45">
        <f t="shared" si="1"/>
        <v>19</v>
      </c>
      <c r="AI30" s="98">
        <v>261</v>
      </c>
      <c r="AJ30" s="55">
        <f t="shared" si="2"/>
        <v>4257.703439999999</v>
      </c>
      <c r="AK30" s="98"/>
      <c r="AL30" s="55">
        <f t="shared" si="3"/>
      </c>
      <c r="AM30" s="98">
        <v>15</v>
      </c>
      <c r="AN30" s="55">
        <f t="shared" si="4"/>
        <v>244.69559999999998</v>
      </c>
      <c r="AO30" s="110">
        <v>11</v>
      </c>
      <c r="AQ30" s="100">
        <v>208</v>
      </c>
      <c r="AR30" s="55">
        <f t="shared" si="5"/>
        <v>3393.11232</v>
      </c>
      <c r="AS30" s="98"/>
      <c r="AT30" s="55">
        <f t="shared" si="6"/>
      </c>
      <c r="AU30" s="98">
        <v>20</v>
      </c>
      <c r="AV30" s="55">
        <f t="shared" si="7"/>
        <v>326.26079999999996</v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3">
        <v>1611187</v>
      </c>
      <c r="D31" s="139">
        <f t="shared" si="0"/>
        <v>1.982</v>
      </c>
      <c r="E31" s="142">
        <v>4.3</v>
      </c>
      <c r="F31" s="143">
        <v>0.6</v>
      </c>
      <c r="G31" s="184" t="str">
        <f t="shared" si="8"/>
        <v>0.00</v>
      </c>
      <c r="H31" s="113">
        <v>3000</v>
      </c>
      <c r="I31" s="114">
        <v>2000</v>
      </c>
      <c r="K31" s="115" t="s">
        <v>210</v>
      </c>
      <c r="L31" s="113">
        <v>37</v>
      </c>
      <c r="M31" s="116">
        <v>0.03</v>
      </c>
      <c r="O31" s="117"/>
      <c r="Q31" s="108"/>
      <c r="R31" s="153"/>
      <c r="S31" s="109"/>
      <c r="U31" s="118">
        <v>7.4</v>
      </c>
      <c r="V31" s="119">
        <v>7.1</v>
      </c>
      <c r="W31" s="120">
        <v>6.8</v>
      </c>
      <c r="Y31" s="121">
        <v>11</v>
      </c>
      <c r="Z31" s="122">
        <v>11</v>
      </c>
      <c r="AA31" s="123">
        <v>10</v>
      </c>
      <c r="AC31" s="118">
        <v>5.5</v>
      </c>
      <c r="AD31" s="124">
        <v>0</v>
      </c>
      <c r="AE31" s="125">
        <v>0</v>
      </c>
      <c r="AG31" s="45">
        <f t="shared" si="1"/>
        <v>20</v>
      </c>
      <c r="AI31" s="126">
        <v>227</v>
      </c>
      <c r="AJ31" s="65">
        <f t="shared" si="2"/>
        <v>3752.28276</v>
      </c>
      <c r="AK31" s="126"/>
      <c r="AL31" s="65">
        <f t="shared" si="3"/>
      </c>
      <c r="AM31" s="126">
        <v>12</v>
      </c>
      <c r="AN31" s="65">
        <f t="shared" si="4"/>
        <v>198.35855999999998</v>
      </c>
      <c r="AO31" s="127">
        <v>9</v>
      </c>
      <c r="AQ31" s="128">
        <v>181</v>
      </c>
      <c r="AR31" s="65">
        <f t="shared" si="5"/>
        <v>2991.90828</v>
      </c>
      <c r="AS31" s="126"/>
      <c r="AT31" s="65">
        <f t="shared" si="6"/>
      </c>
      <c r="AU31" s="126">
        <v>17</v>
      </c>
      <c r="AV31" s="65">
        <f t="shared" si="7"/>
        <v>281.00796</v>
      </c>
      <c r="AX31" s="128">
        <v>52466</v>
      </c>
      <c r="AY31" s="129">
        <v>3</v>
      </c>
      <c r="AZ31" s="130">
        <v>3</v>
      </c>
      <c r="BA31" s="126">
        <v>24.8</v>
      </c>
      <c r="BB31" s="130">
        <v>26</v>
      </c>
      <c r="BC31" s="126">
        <v>24</v>
      </c>
      <c r="BD31" s="126"/>
      <c r="BE31" s="131"/>
      <c r="BG31" s="128">
        <v>24</v>
      </c>
      <c r="BH31" s="111" t="s">
        <v>212</v>
      </c>
      <c r="BI31" s="132" t="s">
        <v>211</v>
      </c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5">
        <v>1613231</v>
      </c>
      <c r="D32" s="138">
        <f t="shared" si="0"/>
        <v>2.044</v>
      </c>
      <c r="E32" s="140">
        <v>3.7</v>
      </c>
      <c r="F32" s="141">
        <v>0.4</v>
      </c>
      <c r="G32" s="81" t="str">
        <f t="shared" si="8"/>
        <v>0.00</v>
      </c>
      <c r="H32" s="85">
        <v>3000</v>
      </c>
      <c r="I32" s="86">
        <v>4000</v>
      </c>
      <c r="K32" s="87" t="s">
        <v>210</v>
      </c>
      <c r="L32" s="85">
        <v>39</v>
      </c>
      <c r="M32" s="88">
        <v>0</v>
      </c>
      <c r="O32" s="107"/>
      <c r="Q32" s="108" t="s">
        <v>13</v>
      </c>
      <c r="R32" s="153" t="s">
        <v>13</v>
      </c>
      <c r="S32" s="109" t="s">
        <v>13</v>
      </c>
      <c r="U32" s="93">
        <v>7.2</v>
      </c>
      <c r="V32" s="94">
        <v>7.2</v>
      </c>
      <c r="W32" s="95">
        <v>6.8</v>
      </c>
      <c r="Y32" s="90">
        <v>11</v>
      </c>
      <c r="Z32" s="96">
        <v>11</v>
      </c>
      <c r="AA32" s="92">
        <v>11</v>
      </c>
      <c r="AC32" s="93">
        <v>6.5</v>
      </c>
      <c r="AD32" s="91">
        <v>0.01</v>
      </c>
      <c r="AE32" s="97">
        <v>0</v>
      </c>
      <c r="AG32" s="45">
        <f t="shared" si="1"/>
        <v>21</v>
      </c>
      <c r="AI32" s="98">
        <v>281</v>
      </c>
      <c r="AJ32" s="55">
        <f t="shared" si="2"/>
        <v>4790.1957600000005</v>
      </c>
      <c r="AK32" s="98">
        <v>201</v>
      </c>
      <c r="AL32" s="55">
        <f t="shared" si="3"/>
        <v>3426.43896</v>
      </c>
      <c r="AM32" s="98">
        <v>13</v>
      </c>
      <c r="AN32" s="55">
        <f t="shared" si="4"/>
        <v>221.61048</v>
      </c>
      <c r="AO32" s="110">
        <v>9</v>
      </c>
      <c r="AQ32" s="100">
        <v>392</v>
      </c>
      <c r="AR32" s="55">
        <f t="shared" si="5"/>
        <v>6682.4083200000005</v>
      </c>
      <c r="AS32" s="98">
        <v>82</v>
      </c>
      <c r="AT32" s="55">
        <f t="shared" si="6"/>
        <v>1397.85072</v>
      </c>
      <c r="AU32" s="98">
        <v>15</v>
      </c>
      <c r="AV32" s="55">
        <f t="shared" si="7"/>
        <v>255.7044</v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5">
        <v>1615335</v>
      </c>
      <c r="D33" s="138">
        <f t="shared" si="0"/>
        <v>2.104</v>
      </c>
      <c r="E33" s="140">
        <v>3.6</v>
      </c>
      <c r="F33" s="141">
        <v>0.6</v>
      </c>
      <c r="G33" s="81" t="str">
        <f t="shared" si="8"/>
        <v>0.00</v>
      </c>
      <c r="H33" s="85">
        <v>0</v>
      </c>
      <c r="I33" s="86">
        <v>0</v>
      </c>
      <c r="K33" s="87" t="s">
        <v>208</v>
      </c>
      <c r="L33" s="85">
        <v>33</v>
      </c>
      <c r="M33" s="88">
        <v>0.25</v>
      </c>
      <c r="O33" s="107"/>
      <c r="Q33" s="108"/>
      <c r="R33" s="153"/>
      <c r="S33" s="109"/>
      <c r="U33" s="93">
        <v>7.3</v>
      </c>
      <c r="V33" s="94">
        <v>7.2</v>
      </c>
      <c r="W33" s="95">
        <v>6.7</v>
      </c>
      <c r="Y33" s="90">
        <v>12</v>
      </c>
      <c r="Z33" s="96">
        <v>11</v>
      </c>
      <c r="AA33" s="92">
        <v>11</v>
      </c>
      <c r="AC33" s="93">
        <v>4.5</v>
      </c>
      <c r="AD33" s="91">
        <v>0.01</v>
      </c>
      <c r="AE33" s="97">
        <v>0</v>
      </c>
      <c r="AG33" s="45">
        <f t="shared" si="1"/>
        <v>22</v>
      </c>
      <c r="AI33" s="98"/>
      <c r="AJ33" s="55">
        <f t="shared" si="2"/>
      </c>
      <c r="AK33" s="98"/>
      <c r="AL33" s="55">
        <f t="shared" si="3"/>
      </c>
      <c r="AM33" s="98"/>
      <c r="AN33" s="55">
        <f t="shared" si="4"/>
      </c>
      <c r="AO33" s="110"/>
      <c r="AQ33" s="100"/>
      <c r="AR33" s="55">
        <f t="shared" si="5"/>
      </c>
      <c r="AS33" s="98"/>
      <c r="AT33" s="55">
        <f t="shared" si="6"/>
      </c>
      <c r="AU33" s="98"/>
      <c r="AV33" s="55">
        <f t="shared" si="7"/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148">
        <f>(D47)</f>
        <v>2.100857142857143</v>
      </c>
      <c r="BR33" s="148">
        <f>(D45)</f>
        <v>2.629</v>
      </c>
      <c r="BS33" s="105" t="s">
        <v>127</v>
      </c>
      <c r="BT33" s="105"/>
      <c r="BU33" s="239" t="s">
        <v>150</v>
      </c>
      <c r="BV33" s="239" t="s">
        <v>150</v>
      </c>
      <c r="BW33" s="239" t="s">
        <v>150</v>
      </c>
      <c r="BX33" s="239" t="s">
        <v>150</v>
      </c>
      <c r="BY33" s="105"/>
      <c r="BZ33" s="105">
        <v>0</v>
      </c>
      <c r="CA33" s="149" t="s">
        <v>24</v>
      </c>
      <c r="CB33" s="105" t="s">
        <v>25</v>
      </c>
      <c r="CC33" s="137"/>
      <c r="CJ33" s="326" t="s">
        <v>17</v>
      </c>
      <c r="CK33" s="328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5">
        <v>1617433</v>
      </c>
      <c r="D34" s="138">
        <f t="shared" si="0"/>
        <v>2.098</v>
      </c>
      <c r="E34" s="140">
        <v>4.5</v>
      </c>
      <c r="F34" s="141">
        <v>0.6</v>
      </c>
      <c r="G34" s="81" t="str">
        <f t="shared" si="8"/>
        <v>0.00</v>
      </c>
      <c r="H34" s="85">
        <v>0</v>
      </c>
      <c r="I34" s="86">
        <v>0</v>
      </c>
      <c r="K34" s="87" t="s">
        <v>208</v>
      </c>
      <c r="L34" s="85">
        <v>32</v>
      </c>
      <c r="M34" s="88">
        <v>0.89</v>
      </c>
      <c r="O34" s="107"/>
      <c r="Q34" s="108" t="s">
        <v>14</v>
      </c>
      <c r="R34" s="153" t="s">
        <v>14</v>
      </c>
      <c r="S34" s="109" t="s">
        <v>14</v>
      </c>
      <c r="U34" s="93">
        <v>7.1</v>
      </c>
      <c r="V34" s="94">
        <v>7</v>
      </c>
      <c r="W34" s="95">
        <v>6.7</v>
      </c>
      <c r="Y34" s="90">
        <v>11</v>
      </c>
      <c r="Z34" s="96">
        <v>10</v>
      </c>
      <c r="AA34" s="92">
        <v>11</v>
      </c>
      <c r="AC34" s="93">
        <v>3.5</v>
      </c>
      <c r="AD34" s="91">
        <v>0.1</v>
      </c>
      <c r="AE34" s="97">
        <v>0.01</v>
      </c>
      <c r="AG34" s="45">
        <f t="shared" si="1"/>
        <v>23</v>
      </c>
      <c r="AI34" s="98"/>
      <c r="AJ34" s="55">
        <f t="shared" si="2"/>
      </c>
      <c r="AK34" s="98"/>
      <c r="AL34" s="55">
        <f t="shared" si="3"/>
      </c>
      <c r="AM34" s="98"/>
      <c r="AN34" s="55">
        <f t="shared" si="4"/>
      </c>
      <c r="AO34" s="110"/>
      <c r="AQ34" s="100"/>
      <c r="AR34" s="55">
        <f t="shared" si="5"/>
      </c>
      <c r="AS34" s="98"/>
      <c r="AT34" s="55">
        <f t="shared" si="6"/>
      </c>
      <c r="AU34" s="98"/>
      <c r="AV34" s="55">
        <f t="shared" si="7"/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160">
        <v>3.85</v>
      </c>
      <c r="BR34" s="156" t="s">
        <v>146</v>
      </c>
      <c r="BS34" s="156" t="s">
        <v>127</v>
      </c>
      <c r="BT34" s="105"/>
      <c r="BU34" s="238" t="s">
        <v>150</v>
      </c>
      <c r="BV34" s="238" t="s">
        <v>150</v>
      </c>
      <c r="BW34" s="238" t="s">
        <v>150</v>
      </c>
      <c r="BX34" s="238" t="s">
        <v>150</v>
      </c>
      <c r="BY34" s="105"/>
      <c r="BZ34" s="238" t="s">
        <v>150</v>
      </c>
      <c r="CA34" s="161" t="s">
        <v>24</v>
      </c>
      <c r="CB34" s="156" t="s">
        <v>25</v>
      </c>
      <c r="CC34" s="137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5">
        <v>1620062</v>
      </c>
      <c r="D35" s="138">
        <f t="shared" si="0"/>
        <v>2.629</v>
      </c>
      <c r="E35" s="140">
        <v>3.6</v>
      </c>
      <c r="F35" s="141">
        <v>0.6</v>
      </c>
      <c r="G35" s="81" t="str">
        <f t="shared" si="8"/>
        <v>0.00</v>
      </c>
      <c r="H35" s="85">
        <v>1500</v>
      </c>
      <c r="I35" s="86">
        <v>3250</v>
      </c>
      <c r="K35" s="87" t="s">
        <v>210</v>
      </c>
      <c r="L35" s="85">
        <v>25</v>
      </c>
      <c r="M35" s="88">
        <v>0.05</v>
      </c>
      <c r="O35" s="107"/>
      <c r="Q35" s="108"/>
      <c r="R35" s="153"/>
      <c r="S35" s="109"/>
      <c r="U35" s="93">
        <v>7.4</v>
      </c>
      <c r="V35" s="94">
        <v>7.3</v>
      </c>
      <c r="W35" s="95">
        <v>7.1</v>
      </c>
      <c r="Y35" s="90">
        <v>11</v>
      </c>
      <c r="Z35" s="96">
        <v>10</v>
      </c>
      <c r="AA35" s="92">
        <v>9</v>
      </c>
      <c r="AC35" s="93">
        <v>8</v>
      </c>
      <c r="AD35" s="91">
        <v>0.01</v>
      </c>
      <c r="AE35" s="97">
        <v>0</v>
      </c>
      <c r="AG35" s="45">
        <f t="shared" si="1"/>
        <v>24</v>
      </c>
      <c r="AI35" s="98"/>
      <c r="AJ35" s="55">
        <f t="shared" si="2"/>
      </c>
      <c r="AK35" s="98"/>
      <c r="AL35" s="55">
        <f t="shared" si="3"/>
      </c>
      <c r="AM35" s="98"/>
      <c r="AN35" s="55">
        <f t="shared" si="4"/>
      </c>
      <c r="AO35" s="110"/>
      <c r="AQ35" s="100"/>
      <c r="AR35" s="55">
        <f t="shared" si="5"/>
      </c>
      <c r="AS35" s="98"/>
      <c r="AT35" s="55">
        <f t="shared" si="6"/>
      </c>
      <c r="AU35" s="98"/>
      <c r="AV35" s="55">
        <f t="shared" si="7"/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3">
        <v>1622265</v>
      </c>
      <c r="D36" s="139">
        <f t="shared" si="0"/>
        <v>2.203</v>
      </c>
      <c r="E36" s="142">
        <v>3.6</v>
      </c>
      <c r="F36" s="143">
        <v>0.6</v>
      </c>
      <c r="G36" s="184" t="str">
        <f t="shared" si="8"/>
        <v>0.00</v>
      </c>
      <c r="H36" s="113">
        <v>3400</v>
      </c>
      <c r="I36" s="114">
        <v>2750</v>
      </c>
      <c r="K36" s="115" t="s">
        <v>210</v>
      </c>
      <c r="L36" s="113">
        <v>16</v>
      </c>
      <c r="M36" s="116">
        <v>0.01</v>
      </c>
      <c r="O36" s="117"/>
      <c r="Q36" s="108" t="s">
        <v>12</v>
      </c>
      <c r="R36" s="153" t="s">
        <v>12</v>
      </c>
      <c r="S36" s="109" t="s">
        <v>12</v>
      </c>
      <c r="U36" s="118">
        <v>7.1</v>
      </c>
      <c r="V36" s="119">
        <v>7.2</v>
      </c>
      <c r="W36" s="120">
        <v>6.8</v>
      </c>
      <c r="Y36" s="121">
        <v>11</v>
      </c>
      <c r="Z36" s="122">
        <v>10</v>
      </c>
      <c r="AA36" s="123">
        <v>10</v>
      </c>
      <c r="AC36" s="118">
        <v>6.5</v>
      </c>
      <c r="AD36" s="124">
        <v>0</v>
      </c>
      <c r="AE36" s="125">
        <v>0</v>
      </c>
      <c r="AG36" s="45">
        <f t="shared" si="1"/>
        <v>25</v>
      </c>
      <c r="AI36" s="126"/>
      <c r="AJ36" s="65">
        <f t="shared" si="2"/>
      </c>
      <c r="AK36" s="126"/>
      <c r="AL36" s="65">
        <f t="shared" si="3"/>
      </c>
      <c r="AM36" s="126"/>
      <c r="AN36" s="65">
        <f t="shared" si="4"/>
      </c>
      <c r="AO36" s="127"/>
      <c r="AQ36" s="128"/>
      <c r="AR36" s="65">
        <f t="shared" si="5"/>
      </c>
      <c r="AS36" s="126"/>
      <c r="AT36" s="65">
        <f t="shared" si="6"/>
      </c>
      <c r="AU36" s="126"/>
      <c r="AV36" s="65">
        <f t="shared" si="7"/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5">
        <v>1624427</v>
      </c>
      <c r="D37" s="138">
        <f t="shared" si="0"/>
        <v>2.162</v>
      </c>
      <c r="E37" s="140">
        <v>3.4</v>
      </c>
      <c r="F37" s="141">
        <v>0.8</v>
      </c>
      <c r="G37" s="81" t="str">
        <f t="shared" si="8"/>
        <v>0.00</v>
      </c>
      <c r="H37" s="85">
        <v>0</v>
      </c>
      <c r="I37" s="86">
        <v>0</v>
      </c>
      <c r="K37" s="87" t="s">
        <v>210</v>
      </c>
      <c r="L37" s="85">
        <v>7</v>
      </c>
      <c r="M37" s="88">
        <v>0</v>
      </c>
      <c r="O37" s="107"/>
      <c r="Q37" s="108"/>
      <c r="R37" s="153"/>
      <c r="S37" s="109"/>
      <c r="U37" s="93">
        <v>7.4</v>
      </c>
      <c r="V37" s="94">
        <v>7.2</v>
      </c>
      <c r="W37" s="95">
        <v>6.6</v>
      </c>
      <c r="Y37" s="90">
        <v>11</v>
      </c>
      <c r="Z37" s="96">
        <v>10</v>
      </c>
      <c r="AA37" s="92">
        <v>9</v>
      </c>
      <c r="AC37" s="93">
        <v>6.5</v>
      </c>
      <c r="AD37" s="91">
        <v>0.01</v>
      </c>
      <c r="AE37" s="97">
        <v>0</v>
      </c>
      <c r="AG37" s="45">
        <f t="shared" si="1"/>
        <v>26</v>
      </c>
      <c r="AI37" s="98">
        <v>277</v>
      </c>
      <c r="AJ37" s="55">
        <f t="shared" si="2"/>
        <v>4994.60916</v>
      </c>
      <c r="AK37" s="98"/>
      <c r="AL37" s="55">
        <f t="shared" si="3"/>
      </c>
      <c r="AM37" s="98">
        <v>10</v>
      </c>
      <c r="AN37" s="55">
        <f t="shared" si="4"/>
        <v>180.31079999999997</v>
      </c>
      <c r="AO37" s="110">
        <v>9</v>
      </c>
      <c r="AQ37" s="100">
        <v>237</v>
      </c>
      <c r="AR37" s="55">
        <f t="shared" si="5"/>
        <v>4273.36596</v>
      </c>
      <c r="AS37" s="98"/>
      <c r="AT37" s="55">
        <f t="shared" si="6"/>
      </c>
      <c r="AU37" s="98">
        <v>18</v>
      </c>
      <c r="AV37" s="55">
        <f t="shared" si="7"/>
        <v>324.55944</v>
      </c>
      <c r="AX37" s="100">
        <v>51856</v>
      </c>
      <c r="AY37" s="101">
        <v>3</v>
      </c>
      <c r="AZ37" s="102">
        <v>3.5</v>
      </c>
      <c r="BA37" s="98">
        <v>34.1</v>
      </c>
      <c r="BB37" s="102">
        <v>27</v>
      </c>
      <c r="BC37" s="98">
        <v>24</v>
      </c>
      <c r="BD37" s="98"/>
      <c r="BE37" s="103"/>
      <c r="BG37" s="100">
        <v>24</v>
      </c>
      <c r="BH37" s="84" t="s">
        <v>212</v>
      </c>
      <c r="BI37" s="104" t="s">
        <v>211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2">
        <f>(IF(((SUM(AJ12:AJ42))=0)," ",(((AJ47-(D47*AO47*8.346))/AJ47)*100)))</f>
        <v>95.63880914090164</v>
      </c>
      <c r="CK37" s="333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5">
        <v>1626575</v>
      </c>
      <c r="D38" s="138">
        <f t="shared" si="0"/>
        <v>2.148</v>
      </c>
      <c r="E38" s="140">
        <v>3.4</v>
      </c>
      <c r="F38" s="141">
        <v>0.8</v>
      </c>
      <c r="G38" s="81" t="str">
        <f t="shared" si="8"/>
        <v>0.00</v>
      </c>
      <c r="H38" s="85">
        <v>0</v>
      </c>
      <c r="I38" s="86">
        <v>6000</v>
      </c>
      <c r="K38" s="87" t="s">
        <v>210</v>
      </c>
      <c r="L38" s="85">
        <v>13</v>
      </c>
      <c r="M38" s="88">
        <v>0</v>
      </c>
      <c r="O38" s="107"/>
      <c r="Q38" s="108" t="s">
        <v>10</v>
      </c>
      <c r="R38" s="153" t="s">
        <v>10</v>
      </c>
      <c r="S38" s="109" t="s">
        <v>10</v>
      </c>
      <c r="U38" s="93">
        <v>7.2</v>
      </c>
      <c r="V38" s="94">
        <v>7.1</v>
      </c>
      <c r="W38" s="95">
        <v>6.8</v>
      </c>
      <c r="Y38" s="90">
        <v>11</v>
      </c>
      <c r="Z38" s="96">
        <v>9</v>
      </c>
      <c r="AA38" s="92">
        <v>9</v>
      </c>
      <c r="AC38" s="93">
        <v>9.5</v>
      </c>
      <c r="AD38" s="91">
        <v>0.01</v>
      </c>
      <c r="AE38" s="97">
        <v>0</v>
      </c>
      <c r="AG38" s="45">
        <f t="shared" si="1"/>
        <v>27</v>
      </c>
      <c r="AI38" s="98">
        <v>230</v>
      </c>
      <c r="AJ38" s="55">
        <f t="shared" si="2"/>
        <v>4120.2936</v>
      </c>
      <c r="AK38" s="98"/>
      <c r="AL38" s="55">
        <f t="shared" si="3"/>
      </c>
      <c r="AM38" s="98">
        <v>15</v>
      </c>
      <c r="AN38" s="55">
        <f t="shared" si="4"/>
        <v>268.71479999999997</v>
      </c>
      <c r="AO38" s="110">
        <v>10</v>
      </c>
      <c r="AQ38" s="100">
        <v>194</v>
      </c>
      <c r="AR38" s="55">
        <f t="shared" si="5"/>
        <v>3475.3780800000004</v>
      </c>
      <c r="AS38" s="98"/>
      <c r="AT38" s="55">
        <f t="shared" si="6"/>
      </c>
      <c r="AU38" s="98">
        <v>21</v>
      </c>
      <c r="AV38" s="55">
        <f t="shared" si="7"/>
        <v>376.20072000000005</v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39" t="s">
        <v>150</v>
      </c>
      <c r="BR38" s="239" t="s">
        <v>150</v>
      </c>
      <c r="BS38" s="239" t="s">
        <v>150</v>
      </c>
      <c r="BT38" s="105"/>
      <c r="BU38" s="146">
        <f>(AN49)</f>
        <v>94.13705081585124</v>
      </c>
      <c r="BV38" s="239" t="s">
        <v>150</v>
      </c>
      <c r="BW38" s="239" t="s">
        <v>150</v>
      </c>
      <c r="BX38" s="105" t="s">
        <v>129</v>
      </c>
      <c r="BY38" s="105"/>
      <c r="BZ38" s="105">
        <v>0</v>
      </c>
      <c r="CA38" s="145" t="s">
        <v>49</v>
      </c>
      <c r="CB38" s="105" t="s">
        <v>26</v>
      </c>
      <c r="CC38" s="137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5">
        <v>1628733</v>
      </c>
      <c r="D39" s="138">
        <f t="shared" si="0"/>
        <v>2.158</v>
      </c>
      <c r="E39" s="140">
        <v>3.6</v>
      </c>
      <c r="F39" s="141">
        <v>0.6</v>
      </c>
      <c r="G39" s="81" t="str">
        <f t="shared" si="8"/>
        <v>0.00</v>
      </c>
      <c r="H39" s="85">
        <v>0</v>
      </c>
      <c r="I39" s="86">
        <v>2000</v>
      </c>
      <c r="K39" s="87" t="s">
        <v>210</v>
      </c>
      <c r="L39" s="85">
        <v>21</v>
      </c>
      <c r="M39" s="88">
        <v>0</v>
      </c>
      <c r="O39" s="107"/>
      <c r="Q39" s="108"/>
      <c r="R39" s="153"/>
      <c r="S39" s="109"/>
      <c r="U39" s="93">
        <v>7.2</v>
      </c>
      <c r="V39" s="94">
        <v>7.2</v>
      </c>
      <c r="W39" s="95">
        <v>6.8</v>
      </c>
      <c r="Y39" s="90">
        <v>11</v>
      </c>
      <c r="Z39" s="96">
        <v>10</v>
      </c>
      <c r="AA39" s="92">
        <v>9</v>
      </c>
      <c r="AC39" s="93">
        <v>5</v>
      </c>
      <c r="AD39" s="91">
        <v>0.01</v>
      </c>
      <c r="AE39" s="97">
        <v>0</v>
      </c>
      <c r="AG39" s="45">
        <f t="shared" si="1"/>
        <v>28</v>
      </c>
      <c r="AI39" s="98">
        <v>233</v>
      </c>
      <c r="AJ39" s="55">
        <f t="shared" si="2"/>
        <v>4193.46876</v>
      </c>
      <c r="AK39" s="98"/>
      <c r="AL39" s="55">
        <f t="shared" si="3"/>
      </c>
      <c r="AM39" s="98">
        <v>14</v>
      </c>
      <c r="AN39" s="55">
        <f t="shared" si="4"/>
        <v>251.96808</v>
      </c>
      <c r="AO39" s="110">
        <v>9</v>
      </c>
      <c r="AQ39" s="100">
        <v>171</v>
      </c>
      <c r="AR39" s="55">
        <f t="shared" si="5"/>
        <v>3077.61012</v>
      </c>
      <c r="AS39" s="98"/>
      <c r="AT39" s="55">
        <f t="shared" si="6"/>
      </c>
      <c r="AU39" s="98">
        <v>21</v>
      </c>
      <c r="AV39" s="55">
        <f t="shared" si="7"/>
        <v>377.95212</v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38" t="s">
        <v>150</v>
      </c>
      <c r="BR39" s="238" t="s">
        <v>150</v>
      </c>
      <c r="BS39" s="238" t="s">
        <v>150</v>
      </c>
      <c r="BT39" s="105"/>
      <c r="BU39" s="159">
        <v>85</v>
      </c>
      <c r="BV39" s="238" t="s">
        <v>150</v>
      </c>
      <c r="BW39" s="238" t="s">
        <v>150</v>
      </c>
      <c r="BX39" s="156" t="s">
        <v>129</v>
      </c>
      <c r="BY39" s="105"/>
      <c r="BZ39" s="238" t="s">
        <v>150</v>
      </c>
      <c r="CA39" s="158" t="s">
        <v>49</v>
      </c>
      <c r="CB39" s="156" t="s">
        <v>26</v>
      </c>
      <c r="CC39" s="137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4">
        <v>29</v>
      </c>
      <c r="C40" s="85"/>
      <c r="D40" s="138" t="str">
        <f t="shared" si="0"/>
        <v> </v>
      </c>
      <c r="E40" s="140"/>
      <c r="F40" s="141"/>
      <c r="G40" s="81" t="str">
        <f t="shared" si="8"/>
        <v> </v>
      </c>
      <c r="H40" s="85"/>
      <c r="I40" s="86"/>
      <c r="K40" s="87"/>
      <c r="L40" s="85"/>
      <c r="M40" s="88"/>
      <c r="O40" s="107"/>
      <c r="Q40" s="108" t="s">
        <v>15</v>
      </c>
      <c r="R40" s="153" t="s">
        <v>15</v>
      </c>
      <c r="S40" s="109" t="s">
        <v>15</v>
      </c>
      <c r="U40" s="93"/>
      <c r="V40" s="94"/>
      <c r="W40" s="95"/>
      <c r="Y40" s="90"/>
      <c r="Z40" s="96"/>
      <c r="AA40" s="92"/>
      <c r="AC40" s="93"/>
      <c r="AD40" s="91"/>
      <c r="AE40" s="97"/>
      <c r="AG40" s="45">
        <f t="shared" si="1"/>
        <v>29</v>
      </c>
      <c r="AI40" s="98"/>
      <c r="AJ40" s="55">
        <f t="shared" si="2"/>
      </c>
      <c r="AK40" s="98"/>
      <c r="AL40" s="55">
        <f t="shared" si="3"/>
      </c>
      <c r="AM40" s="98"/>
      <c r="AN40" s="55">
        <f t="shared" si="4"/>
      </c>
      <c r="AO40" s="110"/>
      <c r="AQ40" s="100"/>
      <c r="AR40" s="55">
        <f t="shared" si="5"/>
      </c>
      <c r="AS40" s="98"/>
      <c r="AT40" s="55">
        <f t="shared" si="6"/>
      </c>
      <c r="AU40" s="98"/>
      <c r="AV40" s="55">
        <f t="shared" si="7"/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4">
        <v>30</v>
      </c>
      <c r="C41" s="85"/>
      <c r="D41" s="138" t="str">
        <f t="shared" si="0"/>
        <v> </v>
      </c>
      <c r="E41" s="140"/>
      <c r="F41" s="141"/>
      <c r="G41" s="81" t="str">
        <f t="shared" si="8"/>
        <v> </v>
      </c>
      <c r="H41" s="85"/>
      <c r="I41" s="86"/>
      <c r="K41" s="87"/>
      <c r="L41" s="85"/>
      <c r="M41" s="88"/>
      <c r="O41" s="107"/>
      <c r="Q41" s="108"/>
      <c r="R41" s="153"/>
      <c r="S41" s="109"/>
      <c r="U41" s="93"/>
      <c r="V41" s="94"/>
      <c r="W41" s="95"/>
      <c r="Y41" s="90"/>
      <c r="Z41" s="96"/>
      <c r="AA41" s="92"/>
      <c r="AC41" s="93"/>
      <c r="AD41" s="91"/>
      <c r="AE41" s="97"/>
      <c r="AG41" s="45">
        <f t="shared" si="1"/>
        <v>30</v>
      </c>
      <c r="AI41" s="98"/>
      <c r="AJ41" s="55">
        <f t="shared" si="2"/>
      </c>
      <c r="AK41" s="98"/>
      <c r="AL41" s="55">
        <f t="shared" si="3"/>
      </c>
      <c r="AM41" s="98"/>
      <c r="AN41" s="55">
        <f t="shared" si="4"/>
      </c>
      <c r="AO41" s="110"/>
      <c r="AQ41" s="100"/>
      <c r="AR41" s="55">
        <f t="shared" si="5"/>
      </c>
      <c r="AS41" s="98"/>
      <c r="AT41" s="55">
        <f t="shared" si="6"/>
      </c>
      <c r="AU41" s="98"/>
      <c r="AV41" s="55">
        <f t="shared" si="7"/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4">
        <v>31</v>
      </c>
      <c r="C42" s="113"/>
      <c r="D42" s="139" t="str">
        <f t="shared" si="0"/>
        <v> </v>
      </c>
      <c r="E42" s="142"/>
      <c r="F42" s="143"/>
      <c r="G42" s="184" t="str">
        <f t="shared" si="8"/>
        <v> </v>
      </c>
      <c r="H42" s="113"/>
      <c r="I42" s="114"/>
      <c r="K42" s="115"/>
      <c r="L42" s="113"/>
      <c r="M42" s="116"/>
      <c r="O42" s="117"/>
      <c r="Q42" s="133"/>
      <c r="R42" s="112"/>
      <c r="S42" s="114"/>
      <c r="U42" s="134"/>
      <c r="V42" s="135"/>
      <c r="W42" s="136"/>
      <c r="Y42" s="133"/>
      <c r="Z42" s="113"/>
      <c r="AA42" s="114"/>
      <c r="AC42" s="134"/>
      <c r="AD42" s="112"/>
      <c r="AE42" s="116"/>
      <c r="AG42" s="45">
        <f t="shared" si="1"/>
        <v>31</v>
      </c>
      <c r="AI42" s="126"/>
      <c r="AJ42" s="65">
        <f t="shared" si="2"/>
      </c>
      <c r="AK42" s="126"/>
      <c r="AL42" s="65">
        <f t="shared" si="3"/>
      </c>
      <c r="AM42" s="126"/>
      <c r="AN42" s="65">
        <f t="shared" si="4"/>
      </c>
      <c r="AO42" s="127"/>
      <c r="AQ42" s="128"/>
      <c r="AR42" s="65">
        <f t="shared" si="5"/>
      </c>
      <c r="AS42" s="126"/>
      <c r="AT42" s="65">
        <f t="shared" si="6"/>
      </c>
      <c r="AU42" s="126"/>
      <c r="AV42" s="65">
        <f t="shared" si="7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9" t="s">
        <v>150</v>
      </c>
      <c r="BR43" s="239" t="s">
        <v>150</v>
      </c>
      <c r="BS43" s="239" t="s">
        <v>150</v>
      </c>
      <c r="BT43" s="105"/>
      <c r="BU43" s="146">
        <f>(AU49)</f>
        <v>91.70078154075176</v>
      </c>
      <c r="BV43" s="239" t="s">
        <v>150</v>
      </c>
      <c r="BW43" s="239" t="s">
        <v>150</v>
      </c>
      <c r="BX43" s="105" t="s">
        <v>129</v>
      </c>
      <c r="BY43" s="105"/>
      <c r="BZ43" s="105">
        <v>0</v>
      </c>
      <c r="CA43" s="145" t="s">
        <v>49</v>
      </c>
      <c r="CB43" s="105" t="s">
        <v>26</v>
      </c>
      <c r="CC43" s="137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9">
        <f>(IF(((SUM(C12:C42))=0)," ",((MAX(C12:C42))-C11)))</f>
        <v>58824</v>
      </c>
      <c r="D44" s="228">
        <f>(IF(((SUM(D12:D42))=0)," ",(SUM(D12:D42))))</f>
        <v>58.824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22900</v>
      </c>
      <c r="I44" s="196">
        <f>(IF(((SUM(I12:I42))=0)," ",(SUM(I12:I42))))</f>
        <v>31750</v>
      </c>
      <c r="K44" s="200" t="s">
        <v>150</v>
      </c>
      <c r="L44" s="201" t="s">
        <v>150</v>
      </c>
      <c r="M44" s="202">
        <f>(IF(((SUM(M12:M42))=0)," ",(SUM(M11:M42))))</f>
        <v>3.34</v>
      </c>
      <c r="O44" s="203" t="str">
        <f>(IF(((SUM(O12:O42))=0),"0.0",(SUM(O11:O42))))</f>
        <v>0.0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266741</v>
      </c>
      <c r="AY44" s="201" t="s">
        <v>150</v>
      </c>
      <c r="AZ44" s="212">
        <f>(IF(((SUM(AZ12:AZ42))=0)," ",(SUM(AZ12:AZ42))))</f>
        <v>16</v>
      </c>
      <c r="BA44" s="199">
        <f>(IF(((SUM(BA12:BA42))=0)," ",(SUM(BA12:BA42))))</f>
        <v>142.6</v>
      </c>
      <c r="BB44" s="207" t="s">
        <v>150</v>
      </c>
      <c r="BC44" s="199">
        <f>(IF(((SUM(BC12:BC42))=0)," ",(SUM(BC12:BC42))))</f>
        <v>120</v>
      </c>
      <c r="BD44" s="189" t="str">
        <f>(IF(((SUM(BD12:BD42))=0)," ",(SUM(BD12:BD42))))</f>
        <v> </v>
      </c>
      <c r="BE44" s="210" t="s">
        <v>150</v>
      </c>
      <c r="BG44" s="213">
        <f>(IF(((SUM(BG12:BG42))=0)," ",(SUM(BG12:BG42))))</f>
        <v>120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38" t="s">
        <v>150</v>
      </c>
      <c r="BR44" s="238" t="s">
        <v>150</v>
      </c>
      <c r="BS44" s="238" t="s">
        <v>150</v>
      </c>
      <c r="BT44" s="105"/>
      <c r="BU44" s="159">
        <v>85</v>
      </c>
      <c r="BV44" s="238" t="s">
        <v>150</v>
      </c>
      <c r="BW44" s="238" t="s">
        <v>150</v>
      </c>
      <c r="BX44" s="156" t="s">
        <v>129</v>
      </c>
      <c r="BY44" s="105"/>
      <c r="BZ44" s="238" t="s">
        <v>150</v>
      </c>
      <c r="CA44" s="158" t="s">
        <v>49</v>
      </c>
      <c r="CB44" s="156" t="s">
        <v>26</v>
      </c>
      <c r="CC44" s="137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2.629</v>
      </c>
      <c r="E45" s="216">
        <f>(IF((SUM(E12:E42))=0," ",(MAX(E12:E42))))</f>
        <v>4.5</v>
      </c>
      <c r="F45" s="217">
        <f>(IF((SUM(F12:F42))=0," ",(MAX(F12:F42))))</f>
        <v>0.8</v>
      </c>
      <c r="G45" s="216">
        <f>(MAX(G12:G42))</f>
        <v>0</v>
      </c>
      <c r="H45" s="162">
        <f>(IF((SUM(H12:H42))=0," ",(MAX(H12:H42))))</f>
        <v>3500</v>
      </c>
      <c r="I45" s="163">
        <f>(IF((SUM(I12:I42))=0," ",(MAX(I12:I42))))</f>
        <v>6000</v>
      </c>
      <c r="K45" s="180" t="s">
        <v>150</v>
      </c>
      <c r="L45" s="183">
        <f>(IF((SUM(L12:L42))=0," ",(MAX(L12:L42))))</f>
        <v>39</v>
      </c>
      <c r="M45" s="219">
        <f>(IF((SUM(M12:M42))=0," ",(MAX(M12:M42))))</f>
        <v>0.89</v>
      </c>
      <c r="O45" s="220" t="s">
        <v>150</v>
      </c>
      <c r="Q45" s="221" t="s">
        <v>150</v>
      </c>
      <c r="R45" s="233" t="str">
        <f>(IF(((SUM(R12:R42))=0),"-",(MAX(R12:R42))))</f>
        <v>-</v>
      </c>
      <c r="S45" s="234" t="str">
        <f>(IF(((SUM(S12:S42))=0),"-",(MAX(S12:S42))))</f>
        <v>-</v>
      </c>
      <c r="U45" s="222">
        <f>(IF((SUM(U12:U42))=0," ",(MAX(U12:U42))))</f>
        <v>7.7</v>
      </c>
      <c r="V45" s="183">
        <f>(IF((SUM(V12:V42))=0," ",(MAX(V12:V42))))</f>
        <v>7.4</v>
      </c>
      <c r="W45" s="223">
        <f>(IF((SUM(W12:W42))=0," ",(MAX(W12:W42))))</f>
        <v>7.1</v>
      </c>
      <c r="Y45" s="218">
        <f>(IF((SUM(Y12:Y42))=0," ",(MAX(Y12:Y42))))</f>
        <v>13</v>
      </c>
      <c r="Z45" s="162">
        <f>(IF((SUM(Z12:Z42))=0," ",(MAX(Z12:Z42))))</f>
        <v>11</v>
      </c>
      <c r="AA45" s="163">
        <f>(IF((SUM(AA12:AA42))=0," ",(MAX(AA12:AA42))))</f>
        <v>11</v>
      </c>
      <c r="AC45" s="222">
        <f>(IF((SUM(AC12:AC42))=0," ",(MAX(AC12:AC42))))</f>
        <v>17</v>
      </c>
      <c r="AD45" s="184">
        <f>(IF((SUM(AD12:AD42))=0," ",(MAX(AD12:AD42))))</f>
        <v>0.5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293</v>
      </c>
      <c r="AJ45" s="162">
        <f t="shared" si="9"/>
        <v>5285.550059999999</v>
      </c>
      <c r="AK45" s="218">
        <f t="shared" si="9"/>
        <v>201</v>
      </c>
      <c r="AL45" s="163">
        <f t="shared" si="9"/>
        <v>3426.43896</v>
      </c>
      <c r="AM45" s="218">
        <f t="shared" si="9"/>
        <v>18</v>
      </c>
      <c r="AN45" s="163">
        <f t="shared" si="9"/>
        <v>345.87647999999996</v>
      </c>
      <c r="AO45" s="224">
        <f t="shared" si="9"/>
        <v>14</v>
      </c>
      <c r="AQ45" s="218">
        <f aca="true" t="shared" si="10" ref="AQ45:AV45">(IF((SUM(AQ12:AQ42))=0," ",(MAX(AQ12:AQ42))))</f>
        <v>392</v>
      </c>
      <c r="AR45" s="163">
        <f t="shared" si="10"/>
        <v>6682.4083200000005</v>
      </c>
      <c r="AS45" s="218">
        <f t="shared" si="10"/>
        <v>82</v>
      </c>
      <c r="AT45" s="163">
        <f t="shared" si="10"/>
        <v>1397.85072</v>
      </c>
      <c r="AU45" s="218">
        <f t="shared" si="10"/>
        <v>23</v>
      </c>
      <c r="AV45" s="163">
        <f t="shared" si="10"/>
        <v>422.73792</v>
      </c>
      <c r="AX45" s="221" t="s">
        <v>150</v>
      </c>
      <c r="AY45" s="183">
        <f>(IF((SUM(AY12:AY42))=0," ",(MAX(AY12:AY42))))</f>
        <v>3</v>
      </c>
      <c r="AZ45" s="225" t="s">
        <v>150</v>
      </c>
      <c r="BA45" s="221" t="s">
        <v>150</v>
      </c>
      <c r="BB45" s="223">
        <f>(IF((SUM(BB12:BB42))=0," ",(MAX(BB12:BB42))))</f>
        <v>28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6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1.915</v>
      </c>
      <c r="E46" s="227">
        <f>(IF((SUM(E12:E42))=0," ",(MIN(E12:E42))))</f>
        <v>3.4</v>
      </c>
      <c r="F46" s="228">
        <f>(IF((SUM(F12:F42))=0," ",(MIN(F12:F42))))</f>
        <v>0.4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-1</v>
      </c>
      <c r="M46" s="202">
        <f>(IF((SUM(M12:M42))=0," ",(MIN(M12:M42))))</f>
        <v>0</v>
      </c>
      <c r="O46" s="229" t="s">
        <v>150</v>
      </c>
      <c r="Q46" s="208" t="s">
        <v>150</v>
      </c>
      <c r="R46" s="204" t="str">
        <f>(IF(((SUM(R12:R42))=0),"-",(MIN(R12:R42))))</f>
        <v>-</v>
      </c>
      <c r="S46" s="205" t="str">
        <f>(IF(((SUM(S12:S42))=0),"-",(MIN(S12:S42))))</f>
        <v>-</v>
      </c>
      <c r="U46" s="230">
        <f>(IF((SUM(U12:U42))=0," ",(MIN(U12:U42))))</f>
        <v>6.9</v>
      </c>
      <c r="V46" s="192">
        <f>(IF((SUM(V12:V42))=0," ",(MIN(V12:V42))))</f>
        <v>6.9</v>
      </c>
      <c r="W46" s="212">
        <f>(IF((SUM(W12:W42))=0," ",(MIN(W12:W42))))</f>
        <v>6.3</v>
      </c>
      <c r="Y46" s="199">
        <f aca="true" t="shared" si="11" ref="Y46:AD46">(IF((SUM(Y12:Y42))=0," ",(MIN(Y12:Y42))))</f>
        <v>10</v>
      </c>
      <c r="Z46" s="189">
        <f t="shared" si="11"/>
        <v>9</v>
      </c>
      <c r="AA46" s="196">
        <f t="shared" si="11"/>
        <v>8</v>
      </c>
      <c r="AB46" t="str">
        <f t="shared" si="11"/>
        <v> </v>
      </c>
      <c r="AC46" s="230">
        <f t="shared" si="11"/>
        <v>3.5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218</v>
      </c>
      <c r="AJ46" s="189">
        <f t="shared" si="12"/>
        <v>3730.78224</v>
      </c>
      <c r="AK46" s="199">
        <f t="shared" si="12"/>
        <v>188</v>
      </c>
      <c r="AL46" s="196">
        <f t="shared" si="12"/>
        <v>3264.40944</v>
      </c>
      <c r="AM46" s="199">
        <f t="shared" si="12"/>
        <v>10</v>
      </c>
      <c r="AN46" s="196">
        <f t="shared" si="12"/>
        <v>180.31079999999997</v>
      </c>
      <c r="AO46" s="231">
        <f t="shared" si="12"/>
        <v>9</v>
      </c>
      <c r="AQ46" s="199">
        <f aca="true" t="shared" si="13" ref="AQ46:AV46">(IF((SUM(AQ12:AQ42))=0," ",(MIN(AQ12:AQ42))))</f>
        <v>171</v>
      </c>
      <c r="AR46" s="196">
        <f t="shared" si="13"/>
        <v>2991.90828</v>
      </c>
      <c r="AS46" s="199">
        <f t="shared" si="13"/>
        <v>79</v>
      </c>
      <c r="AT46" s="196">
        <f t="shared" si="13"/>
        <v>1371.74652</v>
      </c>
      <c r="AU46" s="199">
        <f t="shared" si="13"/>
        <v>15</v>
      </c>
      <c r="AV46" s="196">
        <f t="shared" si="13"/>
        <v>255.7044</v>
      </c>
      <c r="AX46" s="208" t="s">
        <v>150</v>
      </c>
      <c r="AY46" s="192">
        <f>(IF((SUM(AY12:AY42))=0," ",(MIN(AY12:AY42))))</f>
        <v>3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32" t="s">
        <v>150</v>
      </c>
      <c r="BH46" s="214" t="s">
        <v>150</v>
      </c>
      <c r="BI46" s="215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2.100857142857143</v>
      </c>
      <c r="E47" s="216">
        <f>(IF((SUM(E12:E42))=0," ",(AVERAGE(E12:E42))))</f>
        <v>3.8</v>
      </c>
      <c r="F47" s="217">
        <f>(IF((SUM(F12:F42))=0," ",(AVERAGE(F12:F42))))</f>
        <v>0.6464285714285715</v>
      </c>
      <c r="G47" s="216" t="str">
        <f>(IF((SUM(G12:G42))=0,"0.000",(AVERAGE(G12:G42))))</f>
        <v>0.000</v>
      </c>
      <c r="H47" s="162">
        <f>(IF((SUM(H12:H42))=0," ",(AVERAGE(H12:H42))))</f>
        <v>817.8571428571429</v>
      </c>
      <c r="I47" s="163">
        <f>(IF((SUM(I12:I42))=0," ",(AVERAGE(I12:I42))))</f>
        <v>1133.9285714285713</v>
      </c>
      <c r="K47" s="180" t="s">
        <v>150</v>
      </c>
      <c r="L47" s="183">
        <f>(IF((SUM(L12:L42))=0," ",(AVERAGE(L12:L42))))</f>
        <v>20.782142857142855</v>
      </c>
      <c r="M47" s="219">
        <f>(IF((SUM(M12:M42))=0," ",(AVERAGE(M12:M42))))</f>
        <v>0.11928571428571429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7.328571428571428</v>
      </c>
      <c r="V47" s="183">
        <f>(IF((SUM(V12:V42))=0," ",(AVERAGE(V12:V42))))</f>
        <v>7.203571428571427</v>
      </c>
      <c r="W47" s="223">
        <f>(IF((SUM(W12:W42))=0," ",(AVERAGE(W12:W42))))</f>
        <v>6.689285714285715</v>
      </c>
      <c r="Y47" s="218">
        <f>(IF((SUM(Y12:Y42))=0," ",(AVERAGE(Y12:Y42))))</f>
        <v>10.964285714285714</v>
      </c>
      <c r="Z47" s="162">
        <f>(IF((SUM(Z12:Z42))=0," ",(AVERAGE(Z12:Z42))))</f>
        <v>10</v>
      </c>
      <c r="AA47" s="163">
        <f>(IF((SUM(AA12:AA42))=0," ",(AVERAGE(AA12:AA42))))</f>
        <v>9.714285714285714</v>
      </c>
      <c r="AC47" s="222">
        <f>(IF((SUM(AC12:AC42))=0," ",(AVERAGE(AC12:AC42))))</f>
        <v>6.928571428571429</v>
      </c>
      <c r="AD47" s="184">
        <f>(IF((SUM(AD12:AD42))=0," ",(AVERAGE(AD12:AD42))))</f>
        <v>0.03464285714285715</v>
      </c>
      <c r="AE47" s="219">
        <f>(IF((COUNT(AE12:AE42))=0," ",(AVERAGE(AE12:AE42))))</f>
        <v>0.0014285714285714286</v>
      </c>
      <c r="AG47" s="26" t="str">
        <f>($A47)</f>
        <v>Average</v>
      </c>
      <c r="AI47" s="162">
        <f aca="true" t="shared" si="14" ref="AI47:AO47">(IF((SUM(AI12:AI42))=0," ",(AVERAGE(AI12:AI42))))</f>
        <v>252.16666666666666</v>
      </c>
      <c r="AJ47" s="162">
        <f t="shared" si="14"/>
        <v>4422.445545</v>
      </c>
      <c r="AK47" s="218">
        <f t="shared" si="14"/>
        <v>194.5</v>
      </c>
      <c r="AL47" s="163">
        <f t="shared" si="14"/>
        <v>3345.4242</v>
      </c>
      <c r="AM47" s="218">
        <f t="shared" si="14"/>
        <v>14.75</v>
      </c>
      <c r="AN47" s="163">
        <f t="shared" si="14"/>
        <v>259.285735</v>
      </c>
      <c r="AO47" s="224">
        <f t="shared" si="14"/>
        <v>11</v>
      </c>
      <c r="AQ47" s="218">
        <f aca="true" t="shared" si="15" ref="AQ47:AV47">(IF((SUM(AQ12:AQ42))=0," ",(AVERAGE(AQ12:AQ42))))</f>
        <v>223.91666666666666</v>
      </c>
      <c r="AR47" s="163">
        <f t="shared" si="15"/>
        <v>3930.90054</v>
      </c>
      <c r="AS47" s="218">
        <f t="shared" si="15"/>
        <v>80.5</v>
      </c>
      <c r="AT47" s="163">
        <f t="shared" si="15"/>
        <v>1384.79862</v>
      </c>
      <c r="AU47" s="218">
        <f t="shared" si="15"/>
        <v>18.583333333333332</v>
      </c>
      <c r="AV47" s="163">
        <f t="shared" si="15"/>
        <v>326.66946</v>
      </c>
      <c r="AX47" s="218">
        <f aca="true" t="shared" si="16" ref="AX47:BE47">(IF((SUM(AX12:AX42))=0," ",(AVERAGE(AX12:AX42))))</f>
        <v>53348.2</v>
      </c>
      <c r="AY47" s="183">
        <f t="shared" si="16"/>
        <v>3</v>
      </c>
      <c r="AZ47" s="223">
        <f t="shared" si="16"/>
        <v>3.2</v>
      </c>
      <c r="BA47" s="218">
        <f t="shared" si="16"/>
        <v>28.52</v>
      </c>
      <c r="BB47" s="223">
        <f t="shared" si="16"/>
        <v>26.8</v>
      </c>
      <c r="BC47" s="218">
        <f t="shared" si="16"/>
        <v>24</v>
      </c>
      <c r="BD47" s="162" t="str">
        <f t="shared" si="16"/>
        <v> </v>
      </c>
      <c r="BE47" s="219" t="str">
        <f t="shared" si="16"/>
        <v> </v>
      </c>
      <c r="BG47" s="133">
        <f>(IF((SUM(BG12:BG42))=0," ",(AVERAGE(BG12:BG42))))</f>
        <v>24</v>
      </c>
      <c r="BH47" s="181" t="s">
        <v>150</v>
      </c>
      <c r="BI47" s="182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42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94.13705081585124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91.70078154075176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4"/>
      <c r="C52" s="4"/>
      <c r="D52" s="4"/>
      <c r="E52" s="4"/>
      <c r="F52" s="4"/>
      <c r="G52" s="4"/>
      <c r="H52" s="4"/>
      <c r="I52" s="4"/>
      <c r="K52" s="4"/>
      <c r="L52" s="4"/>
      <c r="M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I52" s="4"/>
      <c r="AJ52" s="4"/>
      <c r="AK52" s="4"/>
      <c r="AL52" s="4"/>
      <c r="AM52" s="4"/>
      <c r="AN52" s="4"/>
      <c r="AO52" s="4"/>
      <c r="AQ52" s="4"/>
      <c r="AR52" s="4"/>
      <c r="AS52" s="4"/>
      <c r="AT52" s="4"/>
      <c r="AU52" s="4"/>
      <c r="AV52" s="4"/>
      <c r="AX52" s="4"/>
      <c r="AY52" s="4"/>
      <c r="AZ52" s="4"/>
      <c r="BA52" s="4"/>
      <c r="BB52" s="4"/>
      <c r="BC52" s="4"/>
      <c r="BD52" s="4"/>
      <c r="BE52" s="4"/>
      <c r="BG52" s="4"/>
      <c r="BH52" s="4"/>
      <c r="BI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P52" s="4"/>
    </row>
    <row r="53" spans="1:94" ht="18" customHeight="1">
      <c r="A53" s="4"/>
      <c r="C53" s="4"/>
      <c r="D53" s="4"/>
      <c r="E53" s="4"/>
      <c r="F53" s="4"/>
      <c r="G53" s="4"/>
      <c r="H53" s="4"/>
      <c r="I53" s="4"/>
      <c r="K53" s="4"/>
      <c r="L53" s="4"/>
      <c r="M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I53" s="4"/>
      <c r="AJ53" s="4"/>
      <c r="AK53" s="4"/>
      <c r="AL53" s="4"/>
      <c r="AM53" s="4"/>
      <c r="AN53" s="4"/>
      <c r="AO53" s="4"/>
      <c r="AQ53" s="4"/>
      <c r="AR53" s="4"/>
      <c r="AS53" s="4"/>
      <c r="AT53" s="4"/>
      <c r="AU53" s="4"/>
      <c r="AV53" s="4"/>
      <c r="AX53" s="4"/>
      <c r="AY53" s="4"/>
      <c r="AZ53" s="4"/>
      <c r="BA53" s="4"/>
      <c r="BB53" s="4"/>
      <c r="BC53" s="4"/>
      <c r="BD53" s="4"/>
      <c r="BE53" s="4"/>
      <c r="BG53" s="4"/>
      <c r="BH53" s="4"/>
      <c r="BI53" s="4"/>
      <c r="BK53" s="4"/>
      <c r="BL53" s="4"/>
      <c r="BN53" s="4"/>
      <c r="BP53" s="4"/>
      <c r="BT53" s="4"/>
      <c r="BY53" s="4"/>
      <c r="CC53" s="4"/>
      <c r="CP53" s="4"/>
    </row>
    <row r="54" spans="1:94" ht="18" customHeight="1">
      <c r="A54" s="4"/>
      <c r="C54" s="4"/>
      <c r="D54" s="4"/>
      <c r="E54" s="4"/>
      <c r="F54" s="4"/>
      <c r="G54" s="4"/>
      <c r="H54" s="4"/>
      <c r="I54" s="4"/>
      <c r="K54" s="4"/>
      <c r="L54" s="4"/>
      <c r="M54" s="4"/>
      <c r="O54" s="4"/>
      <c r="Q54" s="4"/>
      <c r="R54" s="4"/>
      <c r="S54" s="4"/>
      <c r="U54" s="4"/>
      <c r="V54" s="4"/>
      <c r="W54" s="4"/>
      <c r="Y54" s="4"/>
      <c r="Z54" s="4"/>
      <c r="AA54" s="4"/>
      <c r="AC54" s="4"/>
      <c r="AD54" s="4"/>
      <c r="AE54" s="4"/>
      <c r="AG54" s="4"/>
      <c r="AI54" s="4"/>
      <c r="AJ54" s="4"/>
      <c r="AK54" s="4"/>
      <c r="AL54" s="4"/>
      <c r="AM54" s="4"/>
      <c r="AN54" s="4"/>
      <c r="AO54" s="4"/>
      <c r="AQ54" s="4"/>
      <c r="AR54" s="4"/>
      <c r="AS54" s="4"/>
      <c r="AT54" s="4"/>
      <c r="AU54" s="4"/>
      <c r="AV54" s="4"/>
      <c r="AX54" s="4"/>
      <c r="AY54" s="4"/>
      <c r="AZ54" s="4"/>
      <c r="BA54" s="4"/>
      <c r="BB54" s="4"/>
      <c r="BC54" s="4"/>
      <c r="BD54" s="4"/>
      <c r="BE54" s="4"/>
      <c r="BG54" s="4"/>
      <c r="BH54" s="4"/>
      <c r="BI54" s="4"/>
      <c r="BK54" s="4"/>
      <c r="BL54" s="4"/>
      <c r="BN54" s="4"/>
      <c r="BP54" s="4"/>
      <c r="BT54" s="4"/>
      <c r="BY54" s="4"/>
      <c r="CC54" s="4"/>
      <c r="CP54" s="4"/>
    </row>
    <row r="55" spans="1:94" ht="18" customHeight="1">
      <c r="A55" s="3"/>
      <c r="C55" s="3"/>
      <c r="D55" s="3"/>
      <c r="E55" s="3"/>
      <c r="F55" s="3"/>
      <c r="G55" s="3"/>
      <c r="H55" s="3"/>
      <c r="I55" s="3"/>
      <c r="K55" s="3"/>
      <c r="L55" s="3"/>
      <c r="M55" s="3"/>
      <c r="O55" s="3"/>
      <c r="Q55" s="3"/>
      <c r="R55" s="3"/>
      <c r="S55" s="3"/>
      <c r="U55" s="3"/>
      <c r="V55" s="3"/>
      <c r="W55" s="3"/>
      <c r="Y55" s="3"/>
      <c r="Z55" s="3"/>
      <c r="AA55" s="3"/>
      <c r="AC55" s="3"/>
      <c r="AD55" s="3"/>
      <c r="AE55" s="3"/>
      <c r="AG55" s="4"/>
      <c r="AI55" s="4"/>
      <c r="AJ55" s="4"/>
      <c r="AK55" s="4"/>
      <c r="AL55" s="4"/>
      <c r="AM55" s="4"/>
      <c r="AN55" s="4"/>
      <c r="AO55" s="4"/>
      <c r="AQ55" s="4"/>
      <c r="AR55" s="4"/>
      <c r="AS55" s="4"/>
      <c r="AT55" s="4"/>
      <c r="AU55" s="4"/>
      <c r="AV55" s="4"/>
      <c r="AX55" s="4"/>
      <c r="AY55" s="4"/>
      <c r="AZ55" s="4"/>
      <c r="BA55" s="4"/>
      <c r="BB55" s="4"/>
      <c r="BC55" s="4"/>
      <c r="BD55" s="4"/>
      <c r="BE55" s="4"/>
      <c r="BG55" s="4"/>
      <c r="BH55" s="4"/>
      <c r="BI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P55" s="4"/>
    </row>
    <row r="56" spans="1:94" ht="18" customHeight="1">
      <c r="A56" s="3"/>
      <c r="C56" s="3"/>
      <c r="D56" s="3"/>
      <c r="E56" s="3"/>
      <c r="F56" s="3"/>
      <c r="G56" s="3"/>
      <c r="H56" s="3"/>
      <c r="I56" s="3"/>
      <c r="K56" s="3"/>
      <c r="L56" s="3"/>
      <c r="M56" s="3"/>
      <c r="O56" s="3"/>
      <c r="Q56" s="3"/>
      <c r="R56" s="3"/>
      <c r="S56" s="3"/>
      <c r="U56" s="3"/>
      <c r="V56" s="3"/>
      <c r="W56" s="3"/>
      <c r="Y56" s="3"/>
      <c r="Z56" s="3"/>
      <c r="AA56" s="3"/>
      <c r="AC56" s="3"/>
      <c r="AD56" s="3"/>
      <c r="AE56" s="3"/>
      <c r="AG56" s="4"/>
      <c r="AI56" s="4"/>
      <c r="AJ56" s="4"/>
      <c r="AK56" s="4"/>
      <c r="AL56" s="4"/>
      <c r="AM56" s="4"/>
      <c r="AN56" s="4"/>
      <c r="AO56" s="4"/>
      <c r="AQ56" s="4"/>
      <c r="AR56" s="4"/>
      <c r="AS56" s="4"/>
      <c r="AT56" s="4"/>
      <c r="AU56" s="4"/>
      <c r="AV56" s="4"/>
      <c r="AX56" s="4"/>
      <c r="AY56" s="4"/>
      <c r="AZ56" s="4"/>
      <c r="BA56" s="4"/>
      <c r="BB56" s="4"/>
      <c r="BC56" s="4"/>
      <c r="BD56" s="4"/>
      <c r="BE56" s="4"/>
      <c r="BG56" s="4"/>
      <c r="BH56" s="4"/>
      <c r="BI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P56" s="4"/>
    </row>
    <row r="57" spans="1:94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P57" s="4"/>
    </row>
    <row r="58" spans="1:94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P58" s="4"/>
    </row>
    <row r="59" spans="1:94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 password="CCAE" sheet="1" objects="1" scenarios="1"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0" man="1"/>
    <brk id="62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192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March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March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1">
        <v>1628733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5">
        <v>1630891</v>
      </c>
      <c r="D12" s="138">
        <f aca="true" t="shared" si="0" ref="D12:D42">(IF(C12=0," ",((C12-C11)/1000)))</f>
        <v>2.158</v>
      </c>
      <c r="E12" s="140">
        <v>3.9</v>
      </c>
      <c r="F12" s="141">
        <v>0.6</v>
      </c>
      <c r="G12" s="81" t="str">
        <f>(IF(C12=0," ","0.00"))</f>
        <v>0.00</v>
      </c>
      <c r="H12" s="85">
        <v>1200</v>
      </c>
      <c r="I12" s="86">
        <v>1000</v>
      </c>
      <c r="K12" s="87" t="s">
        <v>210</v>
      </c>
      <c r="L12" s="85">
        <v>27</v>
      </c>
      <c r="M12" s="88">
        <v>0</v>
      </c>
      <c r="O12" s="89"/>
      <c r="Q12" s="90"/>
      <c r="R12" s="91"/>
      <c r="S12" s="92"/>
      <c r="U12" s="93">
        <v>7.1</v>
      </c>
      <c r="V12" s="94">
        <v>7.2</v>
      </c>
      <c r="W12" s="95">
        <v>6.6</v>
      </c>
      <c r="Y12" s="90">
        <v>11</v>
      </c>
      <c r="Z12" s="96">
        <v>9</v>
      </c>
      <c r="AA12" s="92">
        <v>10</v>
      </c>
      <c r="AC12" s="93">
        <v>5.5</v>
      </c>
      <c r="AD12" s="91">
        <v>0.01</v>
      </c>
      <c r="AE12" s="97">
        <v>0</v>
      </c>
      <c r="AG12" s="45">
        <f aca="true" t="shared" si="1" ref="AG12:AG42">($A12)</f>
        <v>1</v>
      </c>
      <c r="AI12" s="98"/>
      <c r="AJ12" s="55">
        <f aca="true" t="shared" si="2" ref="AJ12:AJ42">IF(AI12=0,"",(D12*AI12*8.34))</f>
      </c>
      <c r="AK12" s="98"/>
      <c r="AL12" s="55">
        <f aca="true" t="shared" si="3" ref="AL12:AL42">IF(AK12=0,"",(D12*AK12*8.34))</f>
      </c>
      <c r="AM12" s="98"/>
      <c r="AN12" s="55">
        <f aca="true" t="shared" si="4" ref="AN12:AN42">IF(AM12=0,"",(D12*AM12*8.34))</f>
      </c>
      <c r="AO12" s="99"/>
      <c r="AQ12" s="100"/>
      <c r="AR12" s="55">
        <f aca="true" t="shared" si="5" ref="AR12:AR42">IF(AQ12=0,"",(D12*AQ12*8.34))</f>
      </c>
      <c r="AS12" s="98"/>
      <c r="AT12" s="55">
        <f aca="true" t="shared" si="6" ref="AT12:AT42">IF(AS12=0,"",(D12*AS12*8.34))</f>
      </c>
      <c r="AU12" s="98"/>
      <c r="AV12" s="55">
        <f aca="true" t="shared" si="7" ref="AV12:AV42">IF(AU12=0,"",(D12*AU12*8.34))</f>
      </c>
      <c r="AX12" s="100"/>
      <c r="AY12" s="101"/>
      <c r="AZ12" s="102"/>
      <c r="BA12" s="98"/>
      <c r="BB12" s="102"/>
      <c r="BC12" s="98"/>
      <c r="BD12" s="98"/>
      <c r="BE12" s="103"/>
      <c r="BG12" s="100"/>
      <c r="BH12" s="84"/>
      <c r="BI12" s="104"/>
      <c r="BK12" s="17"/>
      <c r="BL12" s="19"/>
      <c r="BM12" s="56" t="s">
        <v>117</v>
      </c>
      <c r="BN12" s="20"/>
      <c r="BO12" s="57" t="s">
        <v>130</v>
      </c>
      <c r="BP12" s="26"/>
      <c r="BQ12" s="150">
        <f>(IF(((SUM(AN12:AN42))=0)," ",(AVERAGE(AN12:AN42))))</f>
        <v>349.448085</v>
      </c>
      <c r="BR12" s="150">
        <f>MAX(AN12:AN42)</f>
        <v>528.69762</v>
      </c>
      <c r="BS12" s="105" t="s">
        <v>126</v>
      </c>
      <c r="BT12" s="105"/>
      <c r="BU12" s="150">
        <f>(IF(((SUM(AM12:AM42))=0)," ",(AVERAGE(AM12:AM42))))</f>
        <v>14.833333333333334</v>
      </c>
      <c r="BV12" s="144">
        <f>(CG23)</f>
        <v>17</v>
      </c>
      <c r="BW12" s="150">
        <f>MAX(AM12:AM42)</f>
        <v>17</v>
      </c>
      <c r="BX12" s="105" t="s">
        <v>128</v>
      </c>
      <c r="BY12" s="105"/>
      <c r="BZ12" s="105">
        <v>0</v>
      </c>
      <c r="CA12" s="145" t="s">
        <v>47</v>
      </c>
      <c r="CB12" s="105">
        <v>24</v>
      </c>
      <c r="CC12" s="137"/>
      <c r="CE12" s="24"/>
      <c r="CF12" s="20" t="s">
        <v>138</v>
      </c>
      <c r="CG12" s="106">
        <f>(IF(((SUM(AM16:AM18))=0)," ",(AVERAGE(AM16:AM18))))</f>
        <v>14</v>
      </c>
      <c r="CH12" s="106">
        <f>(IF(((SUM(AN16:AN18))=0)," ",(AVERAGE(AN16:AN18))))</f>
        <v>279.67078</v>
      </c>
      <c r="CI12" s="106"/>
      <c r="CJ12" s="106">
        <f>(IF(((SUM(AU16:AU18))=0)," ",(AVERAGE(AU16:AU18))))</f>
        <v>21</v>
      </c>
      <c r="CK12" s="106">
        <f>(IF(((SUM(AV16:AV18))=0)," ",(AVERAGE(AV16:AV18))))</f>
        <v>417.77561999999995</v>
      </c>
      <c r="CL12" s="240"/>
      <c r="CM12" s="152">
        <f>(AVERAGE(AE12:AE19))</f>
        <v>0.0025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5">
        <v>1633047</v>
      </c>
      <c r="D13" s="138">
        <f t="shared" si="0"/>
        <v>2.156</v>
      </c>
      <c r="E13" s="140">
        <v>4.8</v>
      </c>
      <c r="F13" s="141">
        <v>0.8</v>
      </c>
      <c r="G13" s="81" t="str">
        <f aca="true" t="shared" si="8" ref="G13:G42">(IF(C13=0," ","0.00"))</f>
        <v>0.00</v>
      </c>
      <c r="H13" s="85">
        <v>0</v>
      </c>
      <c r="I13" s="86">
        <v>0</v>
      </c>
      <c r="K13" s="87" t="s">
        <v>208</v>
      </c>
      <c r="L13" s="85">
        <v>35</v>
      </c>
      <c r="M13" s="88">
        <v>0.87</v>
      </c>
      <c r="O13" s="107"/>
      <c r="Q13" s="108"/>
      <c r="R13" s="153"/>
      <c r="S13" s="109"/>
      <c r="U13" s="93">
        <v>7.1</v>
      </c>
      <c r="V13" s="94">
        <v>7.1</v>
      </c>
      <c r="W13" s="95">
        <v>6.8</v>
      </c>
      <c r="Y13" s="90">
        <v>10</v>
      </c>
      <c r="Z13" s="96">
        <v>10</v>
      </c>
      <c r="AA13" s="92">
        <v>9</v>
      </c>
      <c r="AC13" s="93">
        <v>10</v>
      </c>
      <c r="AD13" s="91">
        <v>0</v>
      </c>
      <c r="AE13" s="97">
        <v>0</v>
      </c>
      <c r="AG13" s="45">
        <f t="shared" si="1"/>
        <v>2</v>
      </c>
      <c r="AI13" s="98"/>
      <c r="AJ13" s="55">
        <f t="shared" si="2"/>
      </c>
      <c r="AK13" s="98"/>
      <c r="AL13" s="55">
        <f t="shared" si="3"/>
      </c>
      <c r="AM13" s="98"/>
      <c r="AN13" s="55">
        <f t="shared" si="4"/>
      </c>
      <c r="AO13" s="110"/>
      <c r="AQ13" s="100"/>
      <c r="AR13" s="55">
        <f t="shared" si="5"/>
      </c>
      <c r="AS13" s="98"/>
      <c r="AT13" s="55">
        <f t="shared" si="6"/>
      </c>
      <c r="AU13" s="98"/>
      <c r="AV13" s="55">
        <f t="shared" si="7"/>
      </c>
      <c r="AX13" s="100"/>
      <c r="AY13" s="101"/>
      <c r="AZ13" s="102"/>
      <c r="BA13" s="98"/>
      <c r="BB13" s="102"/>
      <c r="BC13" s="98"/>
      <c r="BD13" s="98"/>
      <c r="BE13" s="103"/>
      <c r="BG13" s="100"/>
      <c r="BH13" s="84"/>
      <c r="BI13" s="104"/>
      <c r="BK13" s="17"/>
      <c r="BL13" s="19"/>
      <c r="BM13" s="26" t="s">
        <v>86</v>
      </c>
      <c r="BN13" s="20"/>
      <c r="BO13" s="154" t="s">
        <v>131</v>
      </c>
      <c r="BP13" s="26"/>
      <c r="BQ13" s="237">
        <v>963</v>
      </c>
      <c r="BR13" s="237">
        <v>1605</v>
      </c>
      <c r="BS13" s="156" t="s">
        <v>126</v>
      </c>
      <c r="BT13" s="105"/>
      <c r="BU13" s="237">
        <v>30</v>
      </c>
      <c r="BV13" s="157">
        <v>45</v>
      </c>
      <c r="BW13" s="237">
        <v>50</v>
      </c>
      <c r="BX13" s="156" t="s">
        <v>128</v>
      </c>
      <c r="BY13" s="105"/>
      <c r="BZ13" s="238" t="s">
        <v>150</v>
      </c>
      <c r="CA13" s="158" t="s">
        <v>47</v>
      </c>
      <c r="CB13" s="156">
        <v>24</v>
      </c>
      <c r="CC13" s="137"/>
      <c r="CE13" s="24"/>
      <c r="CF13" s="20"/>
      <c r="CG13" s="106"/>
      <c r="CH13" s="106"/>
      <c r="CI13" s="106"/>
      <c r="CJ13" s="106"/>
      <c r="CK13" s="106"/>
      <c r="CL13" s="240"/>
      <c r="CM13" s="152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5">
        <v>1635664</v>
      </c>
      <c r="D14" s="138">
        <f t="shared" si="0"/>
        <v>2.617</v>
      </c>
      <c r="E14" s="140">
        <v>4</v>
      </c>
      <c r="F14" s="141">
        <v>0.8</v>
      </c>
      <c r="G14" s="81" t="str">
        <f t="shared" si="8"/>
        <v>0.00</v>
      </c>
      <c r="H14" s="85">
        <v>1600</v>
      </c>
      <c r="I14" s="86">
        <v>1750</v>
      </c>
      <c r="K14" s="87" t="s">
        <v>208</v>
      </c>
      <c r="L14" s="85">
        <v>11</v>
      </c>
      <c r="M14" s="88">
        <v>0</v>
      </c>
      <c r="O14" s="107"/>
      <c r="Q14" s="108" t="s">
        <v>10</v>
      </c>
      <c r="R14" s="153" t="s">
        <v>10</v>
      </c>
      <c r="S14" s="109" t="s">
        <v>10</v>
      </c>
      <c r="U14" s="93">
        <v>7.4</v>
      </c>
      <c r="V14" s="94">
        <v>7.2</v>
      </c>
      <c r="W14" s="95">
        <v>6.9</v>
      </c>
      <c r="Y14" s="90">
        <v>11</v>
      </c>
      <c r="Z14" s="96">
        <v>9</v>
      </c>
      <c r="AA14" s="92">
        <v>8</v>
      </c>
      <c r="AC14" s="93">
        <v>6.5</v>
      </c>
      <c r="AD14" s="91">
        <v>0.01</v>
      </c>
      <c r="AE14" s="97">
        <v>0</v>
      </c>
      <c r="AG14" s="45">
        <f t="shared" si="1"/>
        <v>3</v>
      </c>
      <c r="AI14" s="98"/>
      <c r="AJ14" s="55">
        <f t="shared" si="2"/>
      </c>
      <c r="AK14" s="98"/>
      <c r="AL14" s="55">
        <f t="shared" si="3"/>
      </c>
      <c r="AM14" s="98"/>
      <c r="AN14" s="55">
        <f t="shared" si="4"/>
      </c>
      <c r="AO14" s="110"/>
      <c r="AQ14" s="100"/>
      <c r="AR14" s="55">
        <f t="shared" si="5"/>
      </c>
      <c r="AS14" s="98"/>
      <c r="AT14" s="55">
        <f t="shared" si="6"/>
      </c>
      <c r="AU14" s="98"/>
      <c r="AV14" s="55">
        <f t="shared" si="7"/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(IF(((SUM(AM23:AM25))=0)," ",(AVERAGE(AM23:AM25))))</f>
        <v>13</v>
      </c>
      <c r="CH14" s="106">
        <f>(IF(((SUM(AN23:AN25))=0)," ",(AVERAGE(AN23:AN25))))</f>
        <v>245.03198</v>
      </c>
      <c r="CI14" s="106"/>
      <c r="CJ14" s="106">
        <f>(IF(((SUM(AU23:AU25))=0)," ",(AVERAGE(AU23:AU25))))</f>
        <v>16.666666666666668</v>
      </c>
      <c r="CK14" s="106">
        <f>(IF(((SUM(AV23:AV25))=0)," ",(AVERAGE(AV23:AV25))))</f>
        <v>315.04072</v>
      </c>
      <c r="CL14" s="240"/>
      <c r="CM14" s="152">
        <f>(AVERAGE(AE20:AE26))</f>
        <v>0.002857142857142857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5">
        <v>1638062</v>
      </c>
      <c r="D15" s="138">
        <f t="shared" si="0"/>
        <v>2.398</v>
      </c>
      <c r="E15" s="140">
        <v>3.9</v>
      </c>
      <c r="F15" s="141">
        <v>0.6</v>
      </c>
      <c r="G15" s="81" t="str">
        <f t="shared" si="8"/>
        <v>0.00</v>
      </c>
      <c r="H15" s="85">
        <v>3000</v>
      </c>
      <c r="I15" s="86">
        <v>1000</v>
      </c>
      <c r="K15" s="87" t="s">
        <v>210</v>
      </c>
      <c r="L15" s="85">
        <v>15</v>
      </c>
      <c r="M15" s="88">
        <v>0</v>
      </c>
      <c r="O15" s="107"/>
      <c r="Q15" s="108"/>
      <c r="R15" s="153"/>
      <c r="S15" s="109"/>
      <c r="U15" s="93">
        <v>7.4</v>
      </c>
      <c r="V15" s="94">
        <v>7.3</v>
      </c>
      <c r="W15" s="95">
        <v>7</v>
      </c>
      <c r="Y15" s="90">
        <v>11</v>
      </c>
      <c r="Z15" s="96">
        <v>9</v>
      </c>
      <c r="AA15" s="92">
        <v>9</v>
      </c>
      <c r="AC15" s="93">
        <v>5.5</v>
      </c>
      <c r="AD15" s="91">
        <v>0.01</v>
      </c>
      <c r="AE15" s="97">
        <v>0</v>
      </c>
      <c r="AG15" s="45">
        <f t="shared" si="1"/>
        <v>4</v>
      </c>
      <c r="AI15" s="98"/>
      <c r="AJ15" s="55">
        <f t="shared" si="2"/>
      </c>
      <c r="AK15" s="98"/>
      <c r="AL15" s="55">
        <f t="shared" si="3"/>
      </c>
      <c r="AM15" s="98"/>
      <c r="AN15" s="55">
        <f t="shared" si="4"/>
      </c>
      <c r="AO15" s="110"/>
      <c r="AQ15" s="100"/>
      <c r="AR15" s="55">
        <f t="shared" si="5"/>
      </c>
      <c r="AS15" s="98"/>
      <c r="AT15" s="55">
        <f t="shared" si="6"/>
      </c>
      <c r="AU15" s="98"/>
      <c r="AV15" s="55">
        <f t="shared" si="7"/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106"/>
      <c r="CH15" s="106"/>
      <c r="CI15" s="106"/>
      <c r="CJ15" s="106"/>
      <c r="CK15" s="106"/>
      <c r="CL15" s="240"/>
      <c r="CM15" s="152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3">
        <v>1640354</v>
      </c>
      <c r="D16" s="139">
        <f t="shared" si="0"/>
        <v>2.292</v>
      </c>
      <c r="E16" s="142">
        <v>3.8</v>
      </c>
      <c r="F16" s="143">
        <v>0.6</v>
      </c>
      <c r="G16" s="184" t="str">
        <f t="shared" si="8"/>
        <v>0.00</v>
      </c>
      <c r="H16" s="113">
        <v>500</v>
      </c>
      <c r="I16" s="114">
        <v>0</v>
      </c>
      <c r="K16" s="115" t="s">
        <v>208</v>
      </c>
      <c r="L16" s="113">
        <v>34</v>
      </c>
      <c r="M16" s="116">
        <v>0.45</v>
      </c>
      <c r="O16" s="117"/>
      <c r="Q16" s="108" t="s">
        <v>4</v>
      </c>
      <c r="R16" s="153" t="s">
        <v>4</v>
      </c>
      <c r="S16" s="109" t="s">
        <v>4</v>
      </c>
      <c r="U16" s="118">
        <v>7.1</v>
      </c>
      <c r="V16" s="119">
        <v>7.1</v>
      </c>
      <c r="W16" s="120">
        <v>6.7</v>
      </c>
      <c r="Y16" s="121">
        <v>11</v>
      </c>
      <c r="Z16" s="122">
        <v>10</v>
      </c>
      <c r="AA16" s="123">
        <v>10</v>
      </c>
      <c r="AC16" s="118">
        <v>10</v>
      </c>
      <c r="AD16" s="124">
        <v>0.1</v>
      </c>
      <c r="AE16" s="125">
        <v>0.01</v>
      </c>
      <c r="AG16" s="45">
        <f t="shared" si="1"/>
        <v>5</v>
      </c>
      <c r="AI16" s="126">
        <v>191</v>
      </c>
      <c r="AJ16" s="65">
        <f t="shared" si="2"/>
        <v>3651.0184799999997</v>
      </c>
      <c r="AK16" s="126"/>
      <c r="AL16" s="65">
        <f t="shared" si="3"/>
      </c>
      <c r="AM16" s="126">
        <v>13</v>
      </c>
      <c r="AN16" s="65">
        <f t="shared" si="4"/>
        <v>248.49864</v>
      </c>
      <c r="AO16" s="127">
        <v>10</v>
      </c>
      <c r="AQ16" s="128">
        <v>226</v>
      </c>
      <c r="AR16" s="65">
        <f t="shared" si="5"/>
        <v>4320.053279999999</v>
      </c>
      <c r="AS16" s="126"/>
      <c r="AT16" s="65">
        <f t="shared" si="6"/>
      </c>
      <c r="AU16" s="126">
        <v>22</v>
      </c>
      <c r="AV16" s="65">
        <f t="shared" si="7"/>
        <v>420.53615999999994</v>
      </c>
      <c r="AX16" s="128">
        <v>49974</v>
      </c>
      <c r="AY16" s="129">
        <v>3</v>
      </c>
      <c r="AZ16" s="130">
        <v>3.5</v>
      </c>
      <c r="BA16" s="126">
        <v>24.8</v>
      </c>
      <c r="BB16" s="130">
        <v>27</v>
      </c>
      <c r="BC16" s="126">
        <v>24</v>
      </c>
      <c r="BD16" s="126"/>
      <c r="BE16" s="131"/>
      <c r="BG16" s="128">
        <v>24</v>
      </c>
      <c r="BH16" s="111" t="s">
        <v>212</v>
      </c>
      <c r="BI16" s="132" t="s">
        <v>211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(IF(((SUM(AM30:AM32))=0)," ",(AVERAGE(AM30:AM32))))</f>
        <v>17</v>
      </c>
      <c r="CH16" s="106">
        <f>(IF(((SUM(AN30:AN32))=0)," ",(AVERAGE(AN30:AN32))))</f>
        <v>397.36208000000005</v>
      </c>
      <c r="CI16" s="106"/>
      <c r="CJ16" s="106">
        <f>(IF(((SUM(AU30:AU32))=0)," ",(AVERAGE(AU30:AU32))))</f>
        <v>23.333333333333332</v>
      </c>
      <c r="CK16" s="106">
        <f>(IF(((SUM(AV30:AV32))=0)," ",(AVERAGE(AV30:AV32))))</f>
        <v>546.22274</v>
      </c>
      <c r="CL16" s="240"/>
      <c r="CM16" s="152">
        <f>(AVERAGE(AE27:AE33))</f>
        <v>0.015714285714285715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5">
        <v>1642895</v>
      </c>
      <c r="D17" s="138">
        <f t="shared" si="0"/>
        <v>2.541</v>
      </c>
      <c r="E17" s="140">
        <v>4.2</v>
      </c>
      <c r="F17" s="141">
        <v>0.6</v>
      </c>
      <c r="G17" s="81" t="str">
        <f t="shared" si="8"/>
        <v>0.00</v>
      </c>
      <c r="H17" s="85">
        <v>0</v>
      </c>
      <c r="I17" s="86">
        <v>1000</v>
      </c>
      <c r="K17" s="87" t="s">
        <v>210</v>
      </c>
      <c r="L17" s="85">
        <v>23</v>
      </c>
      <c r="M17" s="88">
        <v>0</v>
      </c>
      <c r="O17" s="107"/>
      <c r="Q17" s="108"/>
      <c r="R17" s="153"/>
      <c r="S17" s="109"/>
      <c r="U17" s="93">
        <v>7.3</v>
      </c>
      <c r="V17" s="94">
        <v>7.1</v>
      </c>
      <c r="W17" s="95">
        <v>6.8</v>
      </c>
      <c r="Y17" s="90">
        <v>10</v>
      </c>
      <c r="Z17" s="96">
        <v>10</v>
      </c>
      <c r="AA17" s="92">
        <v>10</v>
      </c>
      <c r="AC17" s="93">
        <v>9</v>
      </c>
      <c r="AD17" s="91">
        <v>0.1</v>
      </c>
      <c r="AE17" s="97">
        <v>0</v>
      </c>
      <c r="AG17" s="45">
        <f t="shared" si="1"/>
        <v>6</v>
      </c>
      <c r="AI17" s="98">
        <v>243</v>
      </c>
      <c r="AJ17" s="55">
        <f t="shared" si="2"/>
        <v>5149.64142</v>
      </c>
      <c r="AK17" s="98"/>
      <c r="AL17" s="55">
        <f t="shared" si="3"/>
      </c>
      <c r="AM17" s="98">
        <v>15</v>
      </c>
      <c r="AN17" s="55">
        <f t="shared" si="4"/>
        <v>317.8791</v>
      </c>
      <c r="AO17" s="110">
        <v>11</v>
      </c>
      <c r="AQ17" s="100">
        <v>227</v>
      </c>
      <c r="AR17" s="55">
        <f t="shared" si="5"/>
        <v>4810.57038</v>
      </c>
      <c r="AS17" s="98"/>
      <c r="AT17" s="55">
        <f t="shared" si="6"/>
      </c>
      <c r="AU17" s="98">
        <v>20</v>
      </c>
      <c r="AV17" s="55">
        <f t="shared" si="7"/>
        <v>423.8388</v>
      </c>
      <c r="AX17" s="100">
        <v>22090</v>
      </c>
      <c r="AY17" s="101">
        <v>3</v>
      </c>
      <c r="AZ17" s="102">
        <v>1.75</v>
      </c>
      <c r="BA17" s="98">
        <v>21.7</v>
      </c>
      <c r="BB17" s="102">
        <v>29</v>
      </c>
      <c r="BC17" s="98">
        <v>12</v>
      </c>
      <c r="BD17" s="98"/>
      <c r="BE17" s="103"/>
      <c r="BG17" s="100">
        <v>12</v>
      </c>
      <c r="BH17" s="84" t="s">
        <v>212</v>
      </c>
      <c r="BI17" s="104" t="s">
        <v>211</v>
      </c>
      <c r="BK17" s="17"/>
      <c r="BL17" s="19"/>
      <c r="BM17" s="56" t="s">
        <v>111</v>
      </c>
      <c r="BN17" s="20"/>
      <c r="BO17" s="57" t="s">
        <v>130</v>
      </c>
      <c r="BP17" s="26"/>
      <c r="BQ17" s="239" t="s">
        <v>150</v>
      </c>
      <c r="BR17" s="239" t="s">
        <v>150</v>
      </c>
      <c r="BS17" s="239" t="s">
        <v>150</v>
      </c>
      <c r="BT17" s="105"/>
      <c r="BU17" s="146">
        <f>MIN(W12:W42)</f>
        <v>6.1</v>
      </c>
      <c r="BV17" s="239" t="s">
        <v>150</v>
      </c>
      <c r="BW17" s="146">
        <f>MAX(W12:W42)</f>
        <v>7</v>
      </c>
      <c r="BX17" s="105" t="s">
        <v>43</v>
      </c>
      <c r="BY17" s="105"/>
      <c r="BZ17" s="105">
        <v>0</v>
      </c>
      <c r="CA17" s="145" t="s">
        <v>48</v>
      </c>
      <c r="CB17" s="105" t="s">
        <v>23</v>
      </c>
      <c r="CC17" s="137"/>
      <c r="CE17" s="69"/>
      <c r="CF17" s="20"/>
      <c r="CG17" s="106"/>
      <c r="CH17" s="106"/>
      <c r="CI17" s="106"/>
      <c r="CJ17" s="106"/>
      <c r="CK17" s="106"/>
      <c r="CL17" s="241"/>
      <c r="CM17" s="152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5">
        <v>1645230</v>
      </c>
      <c r="D18" s="138">
        <f t="shared" si="0"/>
        <v>2.335</v>
      </c>
      <c r="E18" s="140">
        <v>4</v>
      </c>
      <c r="F18" s="141">
        <v>0.6</v>
      </c>
      <c r="G18" s="81" t="str">
        <f t="shared" si="8"/>
        <v>0.00</v>
      </c>
      <c r="H18" s="85">
        <v>0</v>
      </c>
      <c r="I18" s="86">
        <v>3500</v>
      </c>
      <c r="K18" s="87" t="s">
        <v>210</v>
      </c>
      <c r="L18" s="85">
        <v>19</v>
      </c>
      <c r="M18" s="88">
        <v>0</v>
      </c>
      <c r="O18" s="107"/>
      <c r="Q18" s="108" t="s">
        <v>4</v>
      </c>
      <c r="R18" s="153" t="s">
        <v>4</v>
      </c>
      <c r="S18" s="109" t="s">
        <v>4</v>
      </c>
      <c r="U18" s="93">
        <v>7.1</v>
      </c>
      <c r="V18" s="94">
        <v>7.1</v>
      </c>
      <c r="W18" s="95">
        <v>6.7</v>
      </c>
      <c r="Y18" s="90">
        <v>10</v>
      </c>
      <c r="Z18" s="96">
        <v>8</v>
      </c>
      <c r="AA18" s="92">
        <v>8</v>
      </c>
      <c r="AC18" s="93">
        <v>8</v>
      </c>
      <c r="AD18" s="91">
        <v>0.01</v>
      </c>
      <c r="AE18" s="97">
        <v>0.01</v>
      </c>
      <c r="AG18" s="45">
        <f t="shared" si="1"/>
        <v>7</v>
      </c>
      <c r="AI18" s="98">
        <v>190</v>
      </c>
      <c r="AJ18" s="55">
        <f t="shared" si="2"/>
        <v>3700.0409999999997</v>
      </c>
      <c r="AK18" s="98">
        <v>175</v>
      </c>
      <c r="AL18" s="55">
        <f t="shared" si="3"/>
        <v>3407.9325</v>
      </c>
      <c r="AM18" s="98">
        <v>14</v>
      </c>
      <c r="AN18" s="55">
        <f t="shared" si="4"/>
        <v>272.6346</v>
      </c>
      <c r="AO18" s="110">
        <v>11</v>
      </c>
      <c r="AQ18" s="100">
        <v>114</v>
      </c>
      <c r="AR18" s="55">
        <f t="shared" si="5"/>
        <v>2220.0245999999997</v>
      </c>
      <c r="AS18" s="98">
        <v>96</v>
      </c>
      <c r="AT18" s="55">
        <f t="shared" si="6"/>
        <v>1869.4944</v>
      </c>
      <c r="AU18" s="98">
        <v>21</v>
      </c>
      <c r="AV18" s="55">
        <f t="shared" si="7"/>
        <v>408.95189999999997</v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38" t="s">
        <v>150</v>
      </c>
      <c r="BR18" s="238" t="s">
        <v>150</v>
      </c>
      <c r="BS18" s="238" t="s">
        <v>150</v>
      </c>
      <c r="BT18" s="105"/>
      <c r="BU18" s="159">
        <v>6</v>
      </c>
      <c r="BV18" s="238" t="s">
        <v>150</v>
      </c>
      <c r="BW18" s="156">
        <v>8.5</v>
      </c>
      <c r="BX18" s="156" t="s">
        <v>43</v>
      </c>
      <c r="BY18" s="105"/>
      <c r="BZ18" s="238" t="s">
        <v>150</v>
      </c>
      <c r="CA18" s="158" t="s">
        <v>48</v>
      </c>
      <c r="CB18" s="156" t="s">
        <v>23</v>
      </c>
      <c r="CC18" s="137"/>
      <c r="CE18" s="69"/>
      <c r="CF18" s="20" t="s">
        <v>141</v>
      </c>
      <c r="CG18" s="106">
        <f>(IF(((SUM(AM37:AM39))=0)," ",(AVERAGE(AM37:AM39))))</f>
        <v>15.333333333333334</v>
      </c>
      <c r="CH18" s="106">
        <f>(IF(((SUM(AN37:AN39))=0)," ",(AVERAGE(AN37:AN39))))</f>
        <v>475.7275</v>
      </c>
      <c r="CI18" s="106"/>
      <c r="CJ18" s="106">
        <f>(IF(((SUM(AU37:AU39))=0)," ",(AVERAGE(AU37:AU39))))</f>
        <v>21.666666666666668</v>
      </c>
      <c r="CK18" s="106">
        <f>(IF(((SUM(AV37:AV39))=0)," ",(AVERAGE(AV37:AV39))))</f>
        <v>672.0511</v>
      </c>
      <c r="CL18" s="241"/>
      <c r="CM18" s="152">
        <f>(AVERAGE(AE34:AE40))</f>
        <v>0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5">
        <v>1647499</v>
      </c>
      <c r="D19" s="138">
        <f t="shared" si="0"/>
        <v>2.269</v>
      </c>
      <c r="E19" s="140">
        <v>3.8</v>
      </c>
      <c r="F19" s="141">
        <v>0.6</v>
      </c>
      <c r="G19" s="81" t="str">
        <f t="shared" si="8"/>
        <v>0.00</v>
      </c>
      <c r="H19" s="85">
        <v>0</v>
      </c>
      <c r="I19" s="86">
        <v>0</v>
      </c>
      <c r="K19" s="87" t="s">
        <v>210</v>
      </c>
      <c r="L19" s="85">
        <v>33</v>
      </c>
      <c r="M19" s="88">
        <v>0</v>
      </c>
      <c r="O19" s="107"/>
      <c r="Q19" s="108"/>
      <c r="R19" s="153"/>
      <c r="S19" s="109"/>
      <c r="U19" s="93">
        <v>7.2</v>
      </c>
      <c r="V19" s="94">
        <v>7.1</v>
      </c>
      <c r="W19" s="95">
        <v>6.6</v>
      </c>
      <c r="Y19" s="90">
        <v>10</v>
      </c>
      <c r="Z19" s="96">
        <v>9</v>
      </c>
      <c r="AA19" s="92">
        <v>10</v>
      </c>
      <c r="AC19" s="93">
        <v>6</v>
      </c>
      <c r="AD19" s="91">
        <v>0.01</v>
      </c>
      <c r="AE19" s="97">
        <v>0</v>
      </c>
      <c r="AG19" s="45">
        <f t="shared" si="1"/>
        <v>8</v>
      </c>
      <c r="AI19" s="98"/>
      <c r="AJ19" s="55">
        <f t="shared" si="2"/>
      </c>
      <c r="AK19" s="98"/>
      <c r="AL19" s="55">
        <f t="shared" si="3"/>
      </c>
      <c r="AM19" s="98"/>
      <c r="AN19" s="55">
        <f t="shared" si="4"/>
      </c>
      <c r="AO19" s="110"/>
      <c r="AQ19" s="100"/>
      <c r="AR19" s="55">
        <f t="shared" si="5"/>
      </c>
      <c r="AS19" s="98"/>
      <c r="AT19" s="55">
        <f t="shared" si="6"/>
      </c>
      <c r="AU19" s="98"/>
      <c r="AV19" s="55">
        <f t="shared" si="7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6"/>
      <c r="CH19" s="106"/>
      <c r="CI19" s="106"/>
      <c r="CJ19" s="106"/>
      <c r="CK19" s="106"/>
      <c r="CL19" s="241"/>
      <c r="CM19" s="152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5">
        <v>1649726</v>
      </c>
      <c r="D20" s="138">
        <f t="shared" si="0"/>
        <v>2.227</v>
      </c>
      <c r="E20" s="140">
        <v>3.8</v>
      </c>
      <c r="F20" s="141">
        <v>0.6</v>
      </c>
      <c r="G20" s="81" t="str">
        <f t="shared" si="8"/>
        <v>0.00</v>
      </c>
      <c r="H20" s="85">
        <v>0</v>
      </c>
      <c r="I20" s="86">
        <v>0</v>
      </c>
      <c r="K20" s="87" t="s">
        <v>208</v>
      </c>
      <c r="L20" s="85">
        <v>33</v>
      </c>
      <c r="M20" s="88">
        <v>0.01</v>
      </c>
      <c r="O20" s="107"/>
      <c r="Q20" s="108"/>
      <c r="R20" s="153"/>
      <c r="S20" s="109"/>
      <c r="U20" s="93">
        <v>7.3</v>
      </c>
      <c r="V20" s="94">
        <v>7.2</v>
      </c>
      <c r="W20" s="95">
        <v>6.7</v>
      </c>
      <c r="Y20" s="90">
        <v>9</v>
      </c>
      <c r="Z20" s="96">
        <v>10</v>
      </c>
      <c r="AA20" s="92">
        <v>10</v>
      </c>
      <c r="AC20" s="93">
        <v>3</v>
      </c>
      <c r="AD20" s="91">
        <v>0.01</v>
      </c>
      <c r="AE20" s="97">
        <v>0</v>
      </c>
      <c r="AG20" s="45">
        <f t="shared" si="1"/>
        <v>9</v>
      </c>
      <c r="AI20" s="98"/>
      <c r="AJ20" s="55">
        <f t="shared" si="2"/>
      </c>
      <c r="AK20" s="98"/>
      <c r="AL20" s="55">
        <f t="shared" si="3"/>
      </c>
      <c r="AM20" s="98"/>
      <c r="AN20" s="55">
        <f t="shared" si="4"/>
      </c>
      <c r="AO20" s="110"/>
      <c r="AQ20" s="100"/>
      <c r="AR20" s="55">
        <f t="shared" si="5"/>
      </c>
      <c r="AS20" s="98"/>
      <c r="AT20" s="55">
        <f t="shared" si="6"/>
      </c>
      <c r="AU20" s="98"/>
      <c r="AV20" s="55">
        <f t="shared" si="7"/>
      </c>
      <c r="AX20" s="100"/>
      <c r="AY20" s="101"/>
      <c r="AZ20" s="102"/>
      <c r="BA20" s="98"/>
      <c r="BB20" s="102"/>
      <c r="BC20" s="98"/>
      <c r="BD20" s="98"/>
      <c r="BE20" s="103"/>
      <c r="BG20" s="100"/>
      <c r="BH20" s="84"/>
      <c r="BI20" s="104"/>
      <c r="CE20" s="69"/>
      <c r="CF20" s="20" t="s">
        <v>142</v>
      </c>
      <c r="CG20" s="106"/>
      <c r="CH20" s="106"/>
      <c r="CI20" s="106"/>
      <c r="CJ20" s="106"/>
      <c r="CK20" s="106"/>
      <c r="CL20" s="241"/>
      <c r="CM20" s="152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3">
        <v>1652064</v>
      </c>
      <c r="D21" s="139">
        <f t="shared" si="0"/>
        <v>2.338</v>
      </c>
      <c r="E21" s="142">
        <v>3.6</v>
      </c>
      <c r="F21" s="143">
        <v>0.6</v>
      </c>
      <c r="G21" s="184" t="str">
        <f t="shared" si="8"/>
        <v>0.00</v>
      </c>
      <c r="H21" s="113">
        <v>1600</v>
      </c>
      <c r="I21" s="114">
        <v>5750</v>
      </c>
      <c r="K21" s="115" t="s">
        <v>210</v>
      </c>
      <c r="L21" s="113">
        <v>15</v>
      </c>
      <c r="M21" s="116">
        <v>0</v>
      </c>
      <c r="O21" s="117"/>
      <c r="Q21" s="108"/>
      <c r="R21" s="153"/>
      <c r="S21" s="109"/>
      <c r="U21" s="118">
        <v>7.4</v>
      </c>
      <c r="V21" s="119">
        <v>7.2</v>
      </c>
      <c r="W21" s="120">
        <v>6.8</v>
      </c>
      <c r="Y21" s="121">
        <v>10</v>
      </c>
      <c r="Z21" s="122">
        <v>9</v>
      </c>
      <c r="AA21" s="123">
        <v>9</v>
      </c>
      <c r="AC21" s="118">
        <v>3.5</v>
      </c>
      <c r="AD21" s="124">
        <v>0.01</v>
      </c>
      <c r="AE21" s="125">
        <v>0</v>
      </c>
      <c r="AG21" s="45">
        <f t="shared" si="1"/>
        <v>10</v>
      </c>
      <c r="AI21" s="126"/>
      <c r="AJ21" s="65">
        <f t="shared" si="2"/>
      </c>
      <c r="AK21" s="126"/>
      <c r="AL21" s="65">
        <f t="shared" si="3"/>
      </c>
      <c r="AM21" s="126"/>
      <c r="AN21" s="65">
        <f t="shared" si="4"/>
      </c>
      <c r="AO21" s="127"/>
      <c r="AQ21" s="128"/>
      <c r="AR21" s="65">
        <f t="shared" si="5"/>
      </c>
      <c r="AS21" s="126"/>
      <c r="AT21" s="65">
        <f t="shared" si="6"/>
      </c>
      <c r="AU21" s="126"/>
      <c r="AV21" s="65">
        <f t="shared" si="7"/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5">
        <v>1654339</v>
      </c>
      <c r="D22" s="138">
        <f t="shared" si="0"/>
        <v>2.275</v>
      </c>
      <c r="E22" s="140">
        <v>4</v>
      </c>
      <c r="F22" s="141">
        <v>0.6</v>
      </c>
      <c r="G22" s="81" t="str">
        <f t="shared" si="8"/>
        <v>0.00</v>
      </c>
      <c r="H22" s="85">
        <v>0</v>
      </c>
      <c r="I22" s="86">
        <v>2000</v>
      </c>
      <c r="K22" s="87" t="s">
        <v>210</v>
      </c>
      <c r="L22" s="85">
        <v>20</v>
      </c>
      <c r="M22" s="88">
        <v>0</v>
      </c>
      <c r="O22" s="107"/>
      <c r="Q22" s="108" t="s">
        <v>4</v>
      </c>
      <c r="R22" s="153" t="s">
        <v>4</v>
      </c>
      <c r="S22" s="109" t="s">
        <v>4</v>
      </c>
      <c r="U22" s="93">
        <v>7.2</v>
      </c>
      <c r="V22" s="94">
        <v>7.1</v>
      </c>
      <c r="W22" s="95">
        <v>6.5</v>
      </c>
      <c r="Y22" s="90">
        <v>10</v>
      </c>
      <c r="Z22" s="96">
        <v>9</v>
      </c>
      <c r="AA22" s="92">
        <v>9</v>
      </c>
      <c r="AC22" s="93">
        <v>3</v>
      </c>
      <c r="AD22" s="91">
        <v>0.01</v>
      </c>
      <c r="AE22" s="97">
        <v>0.01</v>
      </c>
      <c r="AG22" s="45">
        <f t="shared" si="1"/>
        <v>11</v>
      </c>
      <c r="AI22" s="98"/>
      <c r="AJ22" s="55">
        <f t="shared" si="2"/>
      </c>
      <c r="AK22" s="98"/>
      <c r="AL22" s="55">
        <f t="shared" si="3"/>
      </c>
      <c r="AM22" s="98"/>
      <c r="AN22" s="55">
        <f t="shared" si="4"/>
      </c>
      <c r="AO22" s="110"/>
      <c r="AQ22" s="100"/>
      <c r="AR22" s="55">
        <f t="shared" si="5"/>
      </c>
      <c r="AS22" s="98"/>
      <c r="AT22" s="55">
        <f t="shared" si="6"/>
      </c>
      <c r="AU22" s="98"/>
      <c r="AV22" s="55">
        <f t="shared" si="7"/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50">
        <f>(IF(((SUM(AV12:AV42))=0)," ",(AVERAGE(AV12:AV42))))</f>
        <v>487.77254500000004</v>
      </c>
      <c r="BR22" s="150">
        <f>MAX(AV12:AV42)</f>
        <v>693.92136</v>
      </c>
      <c r="BS22" s="105" t="s">
        <v>126</v>
      </c>
      <c r="BT22" s="105"/>
      <c r="BU22" s="150">
        <f>(IF(((SUM(AU12:AU42))=0)," ",(AVERAGE(AU12:AU42))))</f>
        <v>20.666666666666668</v>
      </c>
      <c r="BV22" s="144">
        <f>(CJ23)</f>
        <v>23.333333333333332</v>
      </c>
      <c r="BW22" s="150">
        <f>MAX(AU12:AU42)</f>
        <v>25</v>
      </c>
      <c r="BX22" s="105" t="s">
        <v>128</v>
      </c>
      <c r="BY22" s="105"/>
      <c r="BZ22" s="105">
        <v>0</v>
      </c>
      <c r="CA22" s="145" t="s">
        <v>47</v>
      </c>
      <c r="CB22" s="105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5">
        <v>1656612</v>
      </c>
      <c r="D23" s="138">
        <f t="shared" si="0"/>
        <v>2.273</v>
      </c>
      <c r="E23" s="140">
        <v>3.6</v>
      </c>
      <c r="F23" s="141">
        <v>0.6</v>
      </c>
      <c r="G23" s="81" t="str">
        <f t="shared" si="8"/>
        <v>0.00</v>
      </c>
      <c r="H23" s="85">
        <v>0</v>
      </c>
      <c r="I23" s="86">
        <v>0</v>
      </c>
      <c r="K23" s="87" t="s">
        <v>208</v>
      </c>
      <c r="L23" s="85">
        <v>38</v>
      </c>
      <c r="M23" s="88">
        <v>0</v>
      </c>
      <c r="O23" s="107"/>
      <c r="Q23" s="108"/>
      <c r="R23" s="153"/>
      <c r="S23" s="109"/>
      <c r="U23" s="93">
        <v>7.4</v>
      </c>
      <c r="V23" s="94">
        <v>7.1</v>
      </c>
      <c r="W23" s="95">
        <v>6.2</v>
      </c>
      <c r="Y23" s="90">
        <v>11</v>
      </c>
      <c r="Z23" s="96">
        <v>10</v>
      </c>
      <c r="AA23" s="92">
        <v>10</v>
      </c>
      <c r="AC23" s="93">
        <v>6</v>
      </c>
      <c r="AD23" s="91">
        <v>0.01</v>
      </c>
      <c r="AE23" s="97">
        <v>0</v>
      </c>
      <c r="AG23" s="45">
        <f t="shared" si="1"/>
        <v>12</v>
      </c>
      <c r="AI23" s="98">
        <v>250</v>
      </c>
      <c r="AJ23" s="55">
        <f t="shared" si="2"/>
        <v>4739.205</v>
      </c>
      <c r="AK23" s="98"/>
      <c r="AL23" s="55">
        <f t="shared" si="3"/>
      </c>
      <c r="AM23" s="98">
        <v>13</v>
      </c>
      <c r="AN23" s="55">
        <f t="shared" si="4"/>
        <v>246.43866000000003</v>
      </c>
      <c r="AO23" s="110">
        <v>10</v>
      </c>
      <c r="AQ23" s="100">
        <v>215</v>
      </c>
      <c r="AR23" s="55">
        <f t="shared" si="5"/>
        <v>4075.7163000000005</v>
      </c>
      <c r="AS23" s="98"/>
      <c r="AT23" s="55">
        <f t="shared" si="6"/>
      </c>
      <c r="AU23" s="98">
        <v>19</v>
      </c>
      <c r="AV23" s="55">
        <f t="shared" si="7"/>
        <v>360.17958000000004</v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37">
        <v>963</v>
      </c>
      <c r="BR23" s="237">
        <v>1605</v>
      </c>
      <c r="BS23" s="156" t="s">
        <v>126</v>
      </c>
      <c r="BT23" s="105"/>
      <c r="BU23" s="237">
        <v>30</v>
      </c>
      <c r="BV23" s="157">
        <v>45</v>
      </c>
      <c r="BW23" s="237">
        <v>50</v>
      </c>
      <c r="BX23" s="156" t="s">
        <v>128</v>
      </c>
      <c r="BY23" s="105"/>
      <c r="BZ23" s="238" t="s">
        <v>150</v>
      </c>
      <c r="CA23" s="158" t="s">
        <v>47</v>
      </c>
      <c r="CB23" s="156">
        <v>24</v>
      </c>
      <c r="CC23" s="137"/>
      <c r="CE23" s="69"/>
      <c r="CF23" s="72" t="s">
        <v>53</v>
      </c>
      <c r="CG23" s="150">
        <f>(IF(((SUM(CG12:CG20))=0)," ",(MAX(CG12:CG20))))</f>
        <v>17</v>
      </c>
      <c r="CH23" s="150">
        <f>(IF(((SUM(CH12:CH20))=0)," ",(MAX(CH12:CH20))))</f>
        <v>475.7275</v>
      </c>
      <c r="CI23" s="186"/>
      <c r="CJ23" s="150">
        <f>(IF(((SUM(CJ12:CJ20))=0)," ",(MAX(CJ12:CJ20))))</f>
        <v>23.333333333333332</v>
      </c>
      <c r="CK23" s="150">
        <f>(IF(((SUM(CK12:CK20))=0)," ",(MAX(CK12:CK20))))</f>
        <v>672.0511</v>
      </c>
      <c r="CL23" s="71"/>
      <c r="CM23" s="280">
        <f>(MAX(CM12:CM20))</f>
        <v>0.015714285714285715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5">
        <v>1658921</v>
      </c>
      <c r="D24" s="138">
        <f t="shared" si="0"/>
        <v>2.309</v>
      </c>
      <c r="E24" s="140">
        <v>3.6</v>
      </c>
      <c r="F24" s="141">
        <v>0.6</v>
      </c>
      <c r="G24" s="81" t="str">
        <f t="shared" si="8"/>
        <v>0.00</v>
      </c>
      <c r="H24" s="85">
        <v>2500</v>
      </c>
      <c r="I24" s="86">
        <v>500</v>
      </c>
      <c r="K24" s="87" t="s">
        <v>210</v>
      </c>
      <c r="L24" s="85">
        <v>25</v>
      </c>
      <c r="M24" s="88">
        <v>0</v>
      </c>
      <c r="O24" s="107"/>
      <c r="Q24" s="108" t="s">
        <v>10</v>
      </c>
      <c r="R24" s="153" t="s">
        <v>10</v>
      </c>
      <c r="S24" s="109" t="s">
        <v>10</v>
      </c>
      <c r="U24" s="93">
        <v>7.5</v>
      </c>
      <c r="V24" s="94">
        <v>6.6</v>
      </c>
      <c r="W24" s="95">
        <v>6.1</v>
      </c>
      <c r="Y24" s="90">
        <v>10</v>
      </c>
      <c r="Z24" s="96">
        <v>10</v>
      </c>
      <c r="AA24" s="92">
        <v>10</v>
      </c>
      <c r="AC24" s="93">
        <v>9.5</v>
      </c>
      <c r="AD24" s="91">
        <v>0.5</v>
      </c>
      <c r="AE24" s="97">
        <v>0.01</v>
      </c>
      <c r="AG24" s="45">
        <f t="shared" si="1"/>
        <v>13</v>
      </c>
      <c r="AI24" s="98">
        <v>287</v>
      </c>
      <c r="AJ24" s="55">
        <f t="shared" si="2"/>
        <v>5526.77622</v>
      </c>
      <c r="AK24" s="98"/>
      <c r="AL24" s="55">
        <f t="shared" si="3"/>
      </c>
      <c r="AM24" s="98">
        <v>12</v>
      </c>
      <c r="AN24" s="55">
        <f t="shared" si="4"/>
        <v>231.08472</v>
      </c>
      <c r="AO24" s="110">
        <v>9</v>
      </c>
      <c r="AQ24" s="100">
        <v>226</v>
      </c>
      <c r="AR24" s="55">
        <f t="shared" si="5"/>
        <v>4352.095560000001</v>
      </c>
      <c r="AS24" s="98"/>
      <c r="AT24" s="55">
        <f t="shared" si="6"/>
      </c>
      <c r="AU24" s="98">
        <v>17</v>
      </c>
      <c r="AV24" s="55">
        <f t="shared" si="7"/>
        <v>327.37002</v>
      </c>
      <c r="AX24" s="100">
        <v>62445</v>
      </c>
      <c r="AY24" s="101">
        <v>3</v>
      </c>
      <c r="AZ24" s="102">
        <v>3.5</v>
      </c>
      <c r="BA24" s="98">
        <v>34.1</v>
      </c>
      <c r="BB24" s="102">
        <v>27</v>
      </c>
      <c r="BC24" s="98">
        <v>24</v>
      </c>
      <c r="BD24" s="98"/>
      <c r="BE24" s="103"/>
      <c r="BG24" s="100">
        <v>24</v>
      </c>
      <c r="BH24" s="84" t="s">
        <v>212</v>
      </c>
      <c r="BI24" s="104" t="s">
        <v>211</v>
      </c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5">
        <v>1661127</v>
      </c>
      <c r="D25" s="138">
        <f t="shared" si="0"/>
        <v>2.206</v>
      </c>
      <c r="E25" s="140">
        <v>3.4</v>
      </c>
      <c r="F25" s="141">
        <v>0.6</v>
      </c>
      <c r="G25" s="81" t="str">
        <f t="shared" si="8"/>
        <v>0.00</v>
      </c>
      <c r="H25" s="85">
        <v>2000</v>
      </c>
      <c r="I25" s="86">
        <v>1500</v>
      </c>
      <c r="K25" s="87" t="s">
        <v>210</v>
      </c>
      <c r="L25" s="85">
        <v>18</v>
      </c>
      <c r="M25" s="88">
        <v>0</v>
      </c>
      <c r="O25" s="107"/>
      <c r="Q25" s="108"/>
      <c r="R25" s="153"/>
      <c r="S25" s="109"/>
      <c r="U25" s="93">
        <v>7.3</v>
      </c>
      <c r="V25" s="94">
        <v>7.2</v>
      </c>
      <c r="W25" s="95">
        <v>6.5</v>
      </c>
      <c r="Y25" s="90">
        <v>11</v>
      </c>
      <c r="Z25" s="96">
        <v>9</v>
      </c>
      <c r="AA25" s="92">
        <v>9</v>
      </c>
      <c r="AC25" s="93">
        <v>9</v>
      </c>
      <c r="AD25" s="91">
        <v>0.1</v>
      </c>
      <c r="AE25" s="97">
        <v>0</v>
      </c>
      <c r="AG25" s="45">
        <f t="shared" si="1"/>
        <v>14</v>
      </c>
      <c r="AI25" s="98">
        <v>260</v>
      </c>
      <c r="AJ25" s="55">
        <f t="shared" si="2"/>
        <v>4783.4904</v>
      </c>
      <c r="AK25" s="98">
        <v>170</v>
      </c>
      <c r="AL25" s="55">
        <f t="shared" si="3"/>
        <v>3127.6668</v>
      </c>
      <c r="AM25" s="98">
        <v>14</v>
      </c>
      <c r="AN25" s="55">
        <f t="shared" si="4"/>
        <v>257.57256</v>
      </c>
      <c r="AO25" s="110">
        <v>9</v>
      </c>
      <c r="AQ25" s="100">
        <v>200</v>
      </c>
      <c r="AR25" s="55">
        <f t="shared" si="5"/>
        <v>3679.6079999999997</v>
      </c>
      <c r="AS25" s="98">
        <v>58</v>
      </c>
      <c r="AT25" s="55">
        <f t="shared" si="6"/>
        <v>1067.08632</v>
      </c>
      <c r="AU25" s="98">
        <v>14</v>
      </c>
      <c r="AV25" s="55">
        <f t="shared" si="7"/>
        <v>257.57256</v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3">
        <v>1663357</v>
      </c>
      <c r="D26" s="139">
        <f t="shared" si="0"/>
        <v>2.23</v>
      </c>
      <c r="E26" s="142">
        <v>3.6</v>
      </c>
      <c r="F26" s="143">
        <v>0.6</v>
      </c>
      <c r="G26" s="184" t="str">
        <f t="shared" si="8"/>
        <v>0.00</v>
      </c>
      <c r="H26" s="113">
        <v>0</v>
      </c>
      <c r="I26" s="114">
        <v>0</v>
      </c>
      <c r="K26" s="115" t="s">
        <v>208</v>
      </c>
      <c r="L26" s="113">
        <v>23</v>
      </c>
      <c r="M26" s="116">
        <v>0</v>
      </c>
      <c r="O26" s="117"/>
      <c r="Q26" s="108" t="s">
        <v>11</v>
      </c>
      <c r="R26" s="153" t="s">
        <v>11</v>
      </c>
      <c r="S26" s="109" t="s">
        <v>11</v>
      </c>
      <c r="U26" s="118">
        <v>7.1</v>
      </c>
      <c r="V26" s="119">
        <v>7.1</v>
      </c>
      <c r="W26" s="120">
        <v>6.2</v>
      </c>
      <c r="Y26" s="121">
        <v>10</v>
      </c>
      <c r="Z26" s="122">
        <v>9</v>
      </c>
      <c r="AA26" s="123">
        <v>9</v>
      </c>
      <c r="AC26" s="118">
        <v>5</v>
      </c>
      <c r="AD26" s="124">
        <v>0.01</v>
      </c>
      <c r="AE26" s="125">
        <v>0</v>
      </c>
      <c r="AG26" s="45">
        <f t="shared" si="1"/>
        <v>15</v>
      </c>
      <c r="AI26" s="126"/>
      <c r="AJ26" s="65">
        <f t="shared" si="2"/>
      </c>
      <c r="AK26" s="126"/>
      <c r="AL26" s="65">
        <f t="shared" si="3"/>
      </c>
      <c r="AM26" s="126"/>
      <c r="AN26" s="65">
        <f t="shared" si="4"/>
      </c>
      <c r="AO26" s="127"/>
      <c r="AQ26" s="128"/>
      <c r="AR26" s="65">
        <f t="shared" si="5"/>
      </c>
      <c r="AS26" s="126"/>
      <c r="AT26" s="65">
        <f t="shared" si="6"/>
      </c>
      <c r="AU26" s="126"/>
      <c r="AV26" s="65">
        <f t="shared" si="7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5">
        <v>1665510</v>
      </c>
      <c r="D27" s="138">
        <f t="shared" si="0"/>
        <v>2.153</v>
      </c>
      <c r="E27" s="140">
        <v>3.7</v>
      </c>
      <c r="F27" s="141">
        <v>0.6</v>
      </c>
      <c r="G27" s="81" t="str">
        <f t="shared" si="8"/>
        <v>0.00</v>
      </c>
      <c r="H27" s="85">
        <v>0</v>
      </c>
      <c r="I27" s="86">
        <v>0</v>
      </c>
      <c r="K27" s="87" t="s">
        <v>210</v>
      </c>
      <c r="L27" s="85">
        <v>31</v>
      </c>
      <c r="M27" s="88">
        <v>0</v>
      </c>
      <c r="O27" s="107"/>
      <c r="Q27" s="108"/>
      <c r="R27" s="153"/>
      <c r="S27" s="109"/>
      <c r="U27" s="93">
        <v>7.2</v>
      </c>
      <c r="V27" s="94">
        <v>7.1</v>
      </c>
      <c r="W27" s="95">
        <v>6.6</v>
      </c>
      <c r="Y27" s="90">
        <v>10</v>
      </c>
      <c r="Z27" s="96">
        <v>9</v>
      </c>
      <c r="AA27" s="92">
        <v>9</v>
      </c>
      <c r="AC27" s="93">
        <v>4.5</v>
      </c>
      <c r="AD27" s="91">
        <v>0</v>
      </c>
      <c r="AE27" s="97">
        <v>0</v>
      </c>
      <c r="AG27" s="45">
        <f t="shared" si="1"/>
        <v>16</v>
      </c>
      <c r="AI27" s="98"/>
      <c r="AJ27" s="55">
        <f t="shared" si="2"/>
      </c>
      <c r="AK27" s="98"/>
      <c r="AL27" s="55">
        <f t="shared" si="3"/>
      </c>
      <c r="AM27" s="98"/>
      <c r="AN27" s="55">
        <f t="shared" si="4"/>
      </c>
      <c r="AO27" s="110"/>
      <c r="AQ27" s="100"/>
      <c r="AR27" s="55">
        <f t="shared" si="5"/>
      </c>
      <c r="AS27" s="98"/>
      <c r="AT27" s="55">
        <f t="shared" si="6"/>
      </c>
      <c r="AU27" s="98"/>
      <c r="AV27" s="55">
        <f t="shared" si="7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5">
        <v>1667748</v>
      </c>
      <c r="D28" s="138">
        <f t="shared" si="0"/>
        <v>2.238</v>
      </c>
      <c r="E28" s="140">
        <v>3.7</v>
      </c>
      <c r="F28" s="141">
        <v>0.6</v>
      </c>
      <c r="G28" s="81" t="str">
        <f t="shared" si="8"/>
        <v>0.00</v>
      </c>
      <c r="H28" s="85">
        <v>1500</v>
      </c>
      <c r="I28" s="86">
        <v>5000</v>
      </c>
      <c r="K28" s="87" t="s">
        <v>210</v>
      </c>
      <c r="L28" s="85">
        <v>38</v>
      </c>
      <c r="M28" s="88">
        <v>0</v>
      </c>
      <c r="O28" s="107"/>
      <c r="Q28" s="108"/>
      <c r="R28" s="153"/>
      <c r="S28" s="109"/>
      <c r="U28" s="93">
        <v>7.3</v>
      </c>
      <c r="V28" s="94">
        <v>7.1</v>
      </c>
      <c r="W28" s="95">
        <v>6.7</v>
      </c>
      <c r="Y28" s="90">
        <v>11</v>
      </c>
      <c r="Z28" s="96">
        <v>10</v>
      </c>
      <c r="AA28" s="92">
        <v>10</v>
      </c>
      <c r="AC28" s="93">
        <v>5.5</v>
      </c>
      <c r="AD28" s="91">
        <v>0.01</v>
      </c>
      <c r="AE28" s="97">
        <v>0</v>
      </c>
      <c r="AG28" s="45">
        <f t="shared" si="1"/>
        <v>17</v>
      </c>
      <c r="AI28" s="98"/>
      <c r="AJ28" s="55">
        <f t="shared" si="2"/>
      </c>
      <c r="AK28" s="98"/>
      <c r="AL28" s="55">
        <f t="shared" si="3"/>
      </c>
      <c r="AM28" s="98"/>
      <c r="AN28" s="55">
        <f t="shared" si="4"/>
      </c>
      <c r="AO28" s="110"/>
      <c r="AQ28" s="100"/>
      <c r="AR28" s="55">
        <f t="shared" si="5"/>
      </c>
      <c r="AS28" s="98"/>
      <c r="AT28" s="55">
        <f t="shared" si="6"/>
      </c>
      <c r="AU28" s="98"/>
      <c r="AV28" s="55">
        <f t="shared" si="7"/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39" t="s">
        <v>150</v>
      </c>
      <c r="BR28" s="239" t="s">
        <v>150</v>
      </c>
      <c r="BS28" s="239" t="s">
        <v>150</v>
      </c>
      <c r="BT28" s="239"/>
      <c r="BU28" s="239" t="s">
        <v>150</v>
      </c>
      <c r="BV28" s="147">
        <f>(CM23)</f>
        <v>0.015714285714285715</v>
      </c>
      <c r="BW28" s="147">
        <f>MAX(AE12:AE42)</f>
        <v>0.1</v>
      </c>
      <c r="BX28" s="105" t="s">
        <v>128</v>
      </c>
      <c r="BY28" s="105"/>
      <c r="BZ28" s="105">
        <v>0</v>
      </c>
      <c r="CA28" s="145" t="s">
        <v>48</v>
      </c>
      <c r="CB28" s="105" t="s">
        <v>23</v>
      </c>
      <c r="CC28" s="137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5">
        <v>1670176</v>
      </c>
      <c r="D29" s="138">
        <f t="shared" si="0"/>
        <v>2.428</v>
      </c>
      <c r="E29" s="140">
        <v>3.6</v>
      </c>
      <c r="F29" s="141">
        <v>0.7</v>
      </c>
      <c r="G29" s="81" t="str">
        <f t="shared" si="8"/>
        <v>0.00</v>
      </c>
      <c r="H29" s="85">
        <v>0</v>
      </c>
      <c r="I29" s="86">
        <v>1000</v>
      </c>
      <c r="K29" s="87" t="s">
        <v>210</v>
      </c>
      <c r="L29" s="85">
        <v>40</v>
      </c>
      <c r="M29" s="88">
        <v>0</v>
      </c>
      <c r="O29" s="107"/>
      <c r="Q29" s="108"/>
      <c r="R29" s="153"/>
      <c r="S29" s="109"/>
      <c r="U29" s="93">
        <v>7.2</v>
      </c>
      <c r="V29" s="94">
        <v>7.1</v>
      </c>
      <c r="W29" s="95">
        <v>6.3</v>
      </c>
      <c r="Y29" s="90">
        <v>10</v>
      </c>
      <c r="Z29" s="96">
        <v>10</v>
      </c>
      <c r="AA29" s="92">
        <v>11</v>
      </c>
      <c r="AC29" s="93">
        <v>5</v>
      </c>
      <c r="AD29" s="91">
        <v>0</v>
      </c>
      <c r="AE29" s="97">
        <v>0</v>
      </c>
      <c r="AG29" s="45">
        <f t="shared" si="1"/>
        <v>18</v>
      </c>
      <c r="AI29" s="98"/>
      <c r="AJ29" s="55">
        <f t="shared" si="2"/>
      </c>
      <c r="AK29" s="98"/>
      <c r="AL29" s="55">
        <f t="shared" si="3"/>
      </c>
      <c r="AM29" s="98"/>
      <c r="AN29" s="55">
        <f t="shared" si="4"/>
      </c>
      <c r="AO29" s="110"/>
      <c r="AQ29" s="100"/>
      <c r="AR29" s="55">
        <f t="shared" si="5"/>
      </c>
      <c r="AS29" s="98"/>
      <c r="AT29" s="55">
        <f t="shared" si="6"/>
      </c>
      <c r="AU29" s="98"/>
      <c r="AV29" s="55">
        <f t="shared" si="7"/>
      </c>
      <c r="AX29" s="100">
        <v>46218</v>
      </c>
      <c r="AY29" s="101">
        <v>3</v>
      </c>
      <c r="AZ29" s="102">
        <v>3</v>
      </c>
      <c r="BA29" s="98">
        <v>31</v>
      </c>
      <c r="BB29" s="102">
        <v>26</v>
      </c>
      <c r="BC29" s="98">
        <v>24</v>
      </c>
      <c r="BD29" s="98"/>
      <c r="BE29" s="103"/>
      <c r="BG29" s="100">
        <v>24</v>
      </c>
      <c r="BH29" s="84" t="s">
        <v>212</v>
      </c>
      <c r="BI29" s="104" t="s">
        <v>211</v>
      </c>
      <c r="BK29" s="17"/>
      <c r="BL29" s="19"/>
      <c r="BM29" s="26" t="s">
        <v>86</v>
      </c>
      <c r="BN29" s="20"/>
      <c r="BO29" s="154" t="s">
        <v>131</v>
      </c>
      <c r="BP29" s="26"/>
      <c r="BQ29" s="238" t="s">
        <v>150</v>
      </c>
      <c r="BR29" s="238" t="s">
        <v>150</v>
      </c>
      <c r="BS29" s="238" t="s">
        <v>150</v>
      </c>
      <c r="BT29" s="239"/>
      <c r="BU29" s="238" t="s">
        <v>150</v>
      </c>
      <c r="BV29" s="156" t="s">
        <v>146</v>
      </c>
      <c r="BW29" s="156">
        <v>0.3</v>
      </c>
      <c r="BX29" s="156" t="s">
        <v>128</v>
      </c>
      <c r="BY29" s="105"/>
      <c r="BZ29" s="238" t="s">
        <v>150</v>
      </c>
      <c r="CA29" s="158" t="s">
        <v>48</v>
      </c>
      <c r="CB29" s="156" t="s">
        <v>23</v>
      </c>
      <c r="CC29" s="137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5">
        <v>1672811</v>
      </c>
      <c r="D30" s="138">
        <f t="shared" si="0"/>
        <v>2.635</v>
      </c>
      <c r="E30" s="140">
        <v>3.8</v>
      </c>
      <c r="F30" s="141">
        <v>0.6</v>
      </c>
      <c r="G30" s="81" t="str">
        <f t="shared" si="8"/>
        <v>0.00</v>
      </c>
      <c r="H30" s="85">
        <v>750</v>
      </c>
      <c r="I30" s="86">
        <v>2000</v>
      </c>
      <c r="K30" s="87" t="s">
        <v>210</v>
      </c>
      <c r="L30" s="85">
        <v>29</v>
      </c>
      <c r="M30" s="88">
        <v>0</v>
      </c>
      <c r="O30" s="107"/>
      <c r="Q30" s="108" t="s">
        <v>12</v>
      </c>
      <c r="R30" s="153" t="s">
        <v>12</v>
      </c>
      <c r="S30" s="109" t="s">
        <v>12</v>
      </c>
      <c r="U30" s="93">
        <v>7</v>
      </c>
      <c r="V30" s="94">
        <v>6.9</v>
      </c>
      <c r="W30" s="95">
        <v>6.3</v>
      </c>
      <c r="Y30" s="90">
        <v>10</v>
      </c>
      <c r="Z30" s="96">
        <v>9</v>
      </c>
      <c r="AA30" s="92">
        <v>10</v>
      </c>
      <c r="AC30" s="93">
        <v>5</v>
      </c>
      <c r="AD30" s="91">
        <v>0.01</v>
      </c>
      <c r="AE30" s="97">
        <v>0.01</v>
      </c>
      <c r="AG30" s="45">
        <f t="shared" si="1"/>
        <v>19</v>
      </c>
      <c r="AI30" s="98">
        <v>217</v>
      </c>
      <c r="AJ30" s="55">
        <f t="shared" si="2"/>
        <v>4768.770299999999</v>
      </c>
      <c r="AK30" s="98"/>
      <c r="AL30" s="55">
        <f t="shared" si="3"/>
      </c>
      <c r="AM30" s="98">
        <v>17</v>
      </c>
      <c r="AN30" s="55">
        <f t="shared" si="4"/>
        <v>373.59029999999996</v>
      </c>
      <c r="AO30" s="110">
        <v>13</v>
      </c>
      <c r="AQ30" s="100">
        <v>222</v>
      </c>
      <c r="AR30" s="55">
        <f t="shared" si="5"/>
        <v>4878.649799999999</v>
      </c>
      <c r="AS30" s="98"/>
      <c r="AT30" s="55">
        <f t="shared" si="6"/>
      </c>
      <c r="AU30" s="98">
        <v>25</v>
      </c>
      <c r="AV30" s="55">
        <f t="shared" si="7"/>
        <v>549.3975</v>
      </c>
      <c r="AX30" s="100">
        <v>46436</v>
      </c>
      <c r="AY30" s="101">
        <v>3</v>
      </c>
      <c r="AZ30" s="102">
        <v>3.25</v>
      </c>
      <c r="BA30" s="98">
        <v>27.9</v>
      </c>
      <c r="BB30" s="102">
        <v>28</v>
      </c>
      <c r="BC30" s="98">
        <v>24</v>
      </c>
      <c r="BD30" s="98"/>
      <c r="BE30" s="103"/>
      <c r="BG30" s="100">
        <v>24</v>
      </c>
      <c r="BH30" s="84" t="s">
        <v>212</v>
      </c>
      <c r="BI30" s="104" t="s">
        <v>211</v>
      </c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3">
        <v>1675459</v>
      </c>
      <c r="D31" s="139">
        <f t="shared" si="0"/>
        <v>2.648</v>
      </c>
      <c r="E31" s="142">
        <v>4.4</v>
      </c>
      <c r="F31" s="143">
        <v>1.4</v>
      </c>
      <c r="G31" s="184" t="str">
        <f t="shared" si="8"/>
        <v>0.00</v>
      </c>
      <c r="H31" s="113">
        <v>1750</v>
      </c>
      <c r="I31" s="114">
        <v>1750</v>
      </c>
      <c r="K31" s="115" t="s">
        <v>210</v>
      </c>
      <c r="L31" s="113">
        <v>33</v>
      </c>
      <c r="M31" s="116">
        <v>0.13</v>
      </c>
      <c r="O31" s="117"/>
      <c r="Q31" s="108"/>
      <c r="R31" s="153"/>
      <c r="S31" s="109"/>
      <c r="U31" s="118">
        <v>7.1</v>
      </c>
      <c r="V31" s="119">
        <v>7.1</v>
      </c>
      <c r="W31" s="120">
        <v>6.6</v>
      </c>
      <c r="Y31" s="121">
        <v>10</v>
      </c>
      <c r="Z31" s="122">
        <v>9</v>
      </c>
      <c r="AA31" s="123">
        <v>10</v>
      </c>
      <c r="AC31" s="118">
        <v>5</v>
      </c>
      <c r="AD31" s="124">
        <v>0.2</v>
      </c>
      <c r="AE31" s="125">
        <v>0.1</v>
      </c>
      <c r="AG31" s="45">
        <f t="shared" si="1"/>
        <v>20</v>
      </c>
      <c r="AI31" s="126">
        <v>138</v>
      </c>
      <c r="AJ31" s="65">
        <f t="shared" si="2"/>
        <v>3047.63616</v>
      </c>
      <c r="AK31" s="126"/>
      <c r="AL31" s="65">
        <f t="shared" si="3"/>
      </c>
      <c r="AM31" s="126">
        <v>17</v>
      </c>
      <c r="AN31" s="65">
        <f t="shared" si="4"/>
        <v>375.43344</v>
      </c>
      <c r="AO31" s="127">
        <v>12</v>
      </c>
      <c r="AQ31" s="128">
        <v>207</v>
      </c>
      <c r="AR31" s="65">
        <f t="shared" si="5"/>
        <v>4571.454240000001</v>
      </c>
      <c r="AS31" s="126"/>
      <c r="AT31" s="65">
        <f t="shared" si="6"/>
      </c>
      <c r="AU31" s="126">
        <v>21</v>
      </c>
      <c r="AV31" s="65">
        <f t="shared" si="7"/>
        <v>463.77072000000004</v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5">
        <v>1678584</v>
      </c>
      <c r="D32" s="138">
        <f t="shared" si="0"/>
        <v>3.125</v>
      </c>
      <c r="E32" s="140">
        <v>4.8</v>
      </c>
      <c r="F32" s="141">
        <v>1.6</v>
      </c>
      <c r="G32" s="81" t="str">
        <f t="shared" si="8"/>
        <v>0.00</v>
      </c>
      <c r="H32" s="85">
        <v>2500</v>
      </c>
      <c r="I32" s="86">
        <v>1000</v>
      </c>
      <c r="K32" s="87" t="s">
        <v>208</v>
      </c>
      <c r="L32" s="85">
        <v>44</v>
      </c>
      <c r="M32" s="88">
        <v>0.85</v>
      </c>
      <c r="O32" s="107"/>
      <c r="Q32" s="108" t="s">
        <v>13</v>
      </c>
      <c r="R32" s="153" t="s">
        <v>13</v>
      </c>
      <c r="S32" s="109" t="s">
        <v>13</v>
      </c>
      <c r="U32" s="93">
        <v>7.2</v>
      </c>
      <c r="V32" s="94">
        <v>7</v>
      </c>
      <c r="W32" s="95">
        <v>6.2</v>
      </c>
      <c r="Y32" s="90">
        <v>10</v>
      </c>
      <c r="Z32" s="96">
        <v>9</v>
      </c>
      <c r="AA32" s="92">
        <v>11</v>
      </c>
      <c r="AC32" s="93">
        <v>4</v>
      </c>
      <c r="AD32" s="91">
        <v>0.3</v>
      </c>
      <c r="AE32" s="97">
        <v>0</v>
      </c>
      <c r="AG32" s="45">
        <f t="shared" si="1"/>
        <v>21</v>
      </c>
      <c r="AI32" s="98">
        <v>178</v>
      </c>
      <c r="AJ32" s="55">
        <f t="shared" si="2"/>
        <v>4639.125</v>
      </c>
      <c r="AK32" s="98">
        <v>117</v>
      </c>
      <c r="AL32" s="55">
        <f t="shared" si="3"/>
        <v>3049.3125</v>
      </c>
      <c r="AM32" s="98">
        <v>17</v>
      </c>
      <c r="AN32" s="55">
        <f t="shared" si="4"/>
        <v>443.0625</v>
      </c>
      <c r="AO32" s="110">
        <v>11</v>
      </c>
      <c r="AQ32" s="100">
        <v>181</v>
      </c>
      <c r="AR32" s="55">
        <f t="shared" si="5"/>
        <v>4717.3125</v>
      </c>
      <c r="AS32" s="98">
        <v>106</v>
      </c>
      <c r="AT32" s="55">
        <f t="shared" si="6"/>
        <v>2762.625</v>
      </c>
      <c r="AU32" s="98">
        <v>24</v>
      </c>
      <c r="AV32" s="55">
        <f t="shared" si="7"/>
        <v>625.5</v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5">
        <v>1682365</v>
      </c>
      <c r="D33" s="138">
        <f t="shared" si="0"/>
        <v>3.781</v>
      </c>
      <c r="E33" s="140">
        <v>4.6</v>
      </c>
      <c r="F33" s="141">
        <v>1.7</v>
      </c>
      <c r="G33" s="81" t="str">
        <f t="shared" si="8"/>
        <v>0.00</v>
      </c>
      <c r="H33" s="85">
        <v>1000</v>
      </c>
      <c r="I33" s="86">
        <v>0</v>
      </c>
      <c r="K33" s="87" t="s">
        <v>208</v>
      </c>
      <c r="L33" s="85">
        <v>42</v>
      </c>
      <c r="M33" s="88">
        <v>0.01</v>
      </c>
      <c r="O33" s="107"/>
      <c r="Q33" s="108"/>
      <c r="R33" s="153"/>
      <c r="S33" s="109"/>
      <c r="U33" s="93">
        <v>7</v>
      </c>
      <c r="V33" s="94">
        <v>6.9</v>
      </c>
      <c r="W33" s="95">
        <v>6.2</v>
      </c>
      <c r="Y33" s="90">
        <v>9</v>
      </c>
      <c r="Z33" s="96">
        <v>9</v>
      </c>
      <c r="AA33" s="92">
        <v>10</v>
      </c>
      <c r="AC33" s="93">
        <v>3.5</v>
      </c>
      <c r="AD33" s="91">
        <v>0.01</v>
      </c>
      <c r="AE33" s="97">
        <v>0</v>
      </c>
      <c r="AG33" s="45">
        <f t="shared" si="1"/>
        <v>22</v>
      </c>
      <c r="AI33" s="98"/>
      <c r="AJ33" s="55">
        <f t="shared" si="2"/>
      </c>
      <c r="AK33" s="98"/>
      <c r="AL33" s="55">
        <f t="shared" si="3"/>
      </c>
      <c r="AM33" s="98"/>
      <c r="AN33" s="55">
        <f t="shared" si="4"/>
      </c>
      <c r="AO33" s="110"/>
      <c r="AQ33" s="100"/>
      <c r="AR33" s="55">
        <f t="shared" si="5"/>
      </c>
      <c r="AS33" s="98"/>
      <c r="AT33" s="55">
        <f t="shared" si="6"/>
      </c>
      <c r="AU33" s="98"/>
      <c r="AV33" s="55">
        <f t="shared" si="7"/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148">
        <f>(D47)</f>
        <v>2.8295161290322577</v>
      </c>
      <c r="BR33" s="148">
        <f>(D45)</f>
        <v>4.434</v>
      </c>
      <c r="BS33" s="105" t="s">
        <v>127</v>
      </c>
      <c r="BT33" s="105"/>
      <c r="BU33" s="239" t="s">
        <v>150</v>
      </c>
      <c r="BV33" s="239" t="s">
        <v>150</v>
      </c>
      <c r="BW33" s="239" t="s">
        <v>150</v>
      </c>
      <c r="BX33" s="239" t="s">
        <v>150</v>
      </c>
      <c r="BY33" s="105"/>
      <c r="BZ33" s="105">
        <v>0</v>
      </c>
      <c r="CA33" s="149" t="s">
        <v>24</v>
      </c>
      <c r="CB33" s="105" t="s">
        <v>25</v>
      </c>
      <c r="CC33" s="137"/>
      <c r="CJ33" s="326" t="s">
        <v>17</v>
      </c>
      <c r="CK33" s="328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5">
        <v>1685872</v>
      </c>
      <c r="D34" s="138">
        <f t="shared" si="0"/>
        <v>3.507</v>
      </c>
      <c r="E34" s="140">
        <v>4.8</v>
      </c>
      <c r="F34" s="141">
        <v>1.8</v>
      </c>
      <c r="G34" s="81" t="str">
        <f t="shared" si="8"/>
        <v>0.00</v>
      </c>
      <c r="H34" s="85">
        <v>0</v>
      </c>
      <c r="I34" s="86">
        <v>0</v>
      </c>
      <c r="K34" s="87" t="s">
        <v>210</v>
      </c>
      <c r="L34" s="85">
        <v>44</v>
      </c>
      <c r="M34" s="88">
        <v>0.05</v>
      </c>
      <c r="O34" s="107"/>
      <c r="Q34" s="108" t="s">
        <v>14</v>
      </c>
      <c r="R34" s="153" t="s">
        <v>14</v>
      </c>
      <c r="S34" s="109" t="s">
        <v>14</v>
      </c>
      <c r="U34" s="93">
        <v>7.1</v>
      </c>
      <c r="V34" s="94">
        <v>7</v>
      </c>
      <c r="W34" s="95">
        <v>6.2</v>
      </c>
      <c r="Y34" s="90">
        <v>10</v>
      </c>
      <c r="Z34" s="96">
        <v>9</v>
      </c>
      <c r="AA34" s="92">
        <v>10</v>
      </c>
      <c r="AC34" s="93">
        <v>4</v>
      </c>
      <c r="AD34" s="91">
        <v>0.01</v>
      </c>
      <c r="AE34" s="97">
        <v>0</v>
      </c>
      <c r="AG34" s="45">
        <f t="shared" si="1"/>
        <v>23</v>
      </c>
      <c r="AI34" s="98"/>
      <c r="AJ34" s="55">
        <f t="shared" si="2"/>
      </c>
      <c r="AK34" s="98"/>
      <c r="AL34" s="55">
        <f t="shared" si="3"/>
      </c>
      <c r="AM34" s="98"/>
      <c r="AN34" s="55">
        <f t="shared" si="4"/>
      </c>
      <c r="AO34" s="110"/>
      <c r="AQ34" s="100"/>
      <c r="AR34" s="55">
        <f t="shared" si="5"/>
      </c>
      <c r="AS34" s="98"/>
      <c r="AT34" s="55">
        <f t="shared" si="6"/>
      </c>
      <c r="AU34" s="98"/>
      <c r="AV34" s="55">
        <f t="shared" si="7"/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160">
        <v>3.85</v>
      </c>
      <c r="BR34" s="156" t="s">
        <v>146</v>
      </c>
      <c r="BS34" s="156" t="s">
        <v>127</v>
      </c>
      <c r="BT34" s="105"/>
      <c r="BU34" s="238" t="s">
        <v>150</v>
      </c>
      <c r="BV34" s="238" t="s">
        <v>150</v>
      </c>
      <c r="BW34" s="238" t="s">
        <v>150</v>
      </c>
      <c r="BX34" s="238" t="s">
        <v>150</v>
      </c>
      <c r="BY34" s="105"/>
      <c r="BZ34" s="238" t="s">
        <v>150</v>
      </c>
      <c r="CA34" s="161" t="s">
        <v>24</v>
      </c>
      <c r="CB34" s="156" t="s">
        <v>25</v>
      </c>
      <c r="CC34" s="137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5">
        <v>1689533</v>
      </c>
      <c r="D35" s="138">
        <f t="shared" si="0"/>
        <v>3.661</v>
      </c>
      <c r="E35" s="140">
        <v>4.8</v>
      </c>
      <c r="F35" s="141">
        <v>2</v>
      </c>
      <c r="G35" s="81" t="str">
        <f t="shared" si="8"/>
        <v>0.00</v>
      </c>
      <c r="H35" s="85">
        <v>5000</v>
      </c>
      <c r="I35" s="86">
        <v>3000</v>
      </c>
      <c r="K35" s="87" t="s">
        <v>208</v>
      </c>
      <c r="L35" s="85">
        <v>40</v>
      </c>
      <c r="M35" s="88">
        <v>0</v>
      </c>
      <c r="O35" s="107"/>
      <c r="Q35" s="108"/>
      <c r="R35" s="153"/>
      <c r="S35" s="109"/>
      <c r="U35" s="93">
        <v>7.1</v>
      </c>
      <c r="V35" s="94">
        <v>7</v>
      </c>
      <c r="W35" s="95">
        <v>6.5</v>
      </c>
      <c r="Y35" s="90">
        <v>10</v>
      </c>
      <c r="Z35" s="96">
        <v>9</v>
      </c>
      <c r="AA35" s="92">
        <v>10</v>
      </c>
      <c r="AC35" s="93">
        <v>3</v>
      </c>
      <c r="AD35" s="91">
        <v>0.01</v>
      </c>
      <c r="AE35" s="97">
        <v>0</v>
      </c>
      <c r="AG35" s="45">
        <f t="shared" si="1"/>
        <v>24</v>
      </c>
      <c r="AI35" s="98"/>
      <c r="AJ35" s="55">
        <f t="shared" si="2"/>
      </c>
      <c r="AK35" s="98"/>
      <c r="AL35" s="55">
        <f t="shared" si="3"/>
      </c>
      <c r="AM35" s="98"/>
      <c r="AN35" s="55">
        <f t="shared" si="4"/>
      </c>
      <c r="AO35" s="110"/>
      <c r="AQ35" s="100"/>
      <c r="AR35" s="55">
        <f t="shared" si="5"/>
      </c>
      <c r="AS35" s="98"/>
      <c r="AT35" s="55">
        <f t="shared" si="6"/>
      </c>
      <c r="AU35" s="98"/>
      <c r="AV35" s="55">
        <f t="shared" si="7"/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3">
        <v>1693376</v>
      </c>
      <c r="D36" s="139">
        <f t="shared" si="0"/>
        <v>3.843</v>
      </c>
      <c r="E36" s="142">
        <v>5.4</v>
      </c>
      <c r="F36" s="143">
        <v>1.8</v>
      </c>
      <c r="G36" s="184" t="str">
        <f t="shared" si="8"/>
        <v>0.00</v>
      </c>
      <c r="H36" s="113">
        <v>3000</v>
      </c>
      <c r="I36" s="114">
        <v>3000</v>
      </c>
      <c r="K36" s="115" t="s">
        <v>208</v>
      </c>
      <c r="L36" s="113">
        <v>38</v>
      </c>
      <c r="M36" s="116">
        <v>0</v>
      </c>
      <c r="O36" s="117"/>
      <c r="Q36" s="108" t="s">
        <v>12</v>
      </c>
      <c r="R36" s="153" t="s">
        <v>12</v>
      </c>
      <c r="S36" s="109" t="s">
        <v>12</v>
      </c>
      <c r="U36" s="118">
        <v>7</v>
      </c>
      <c r="V36" s="119">
        <v>7</v>
      </c>
      <c r="W36" s="120">
        <v>6.5</v>
      </c>
      <c r="Y36" s="121">
        <v>10</v>
      </c>
      <c r="Z36" s="122">
        <v>9</v>
      </c>
      <c r="AA36" s="123">
        <v>10</v>
      </c>
      <c r="AC36" s="118">
        <v>3.5</v>
      </c>
      <c r="AD36" s="124">
        <v>0.1</v>
      </c>
      <c r="AE36" s="125">
        <v>0</v>
      </c>
      <c r="AG36" s="45">
        <f t="shared" si="1"/>
        <v>25</v>
      </c>
      <c r="AI36" s="126"/>
      <c r="AJ36" s="65">
        <f t="shared" si="2"/>
      </c>
      <c r="AK36" s="126"/>
      <c r="AL36" s="65">
        <f t="shared" si="3"/>
      </c>
      <c r="AM36" s="126"/>
      <c r="AN36" s="65">
        <f t="shared" si="4"/>
      </c>
      <c r="AO36" s="127"/>
      <c r="AQ36" s="128"/>
      <c r="AR36" s="65">
        <f t="shared" si="5"/>
      </c>
      <c r="AS36" s="126"/>
      <c r="AT36" s="65">
        <f t="shared" si="6"/>
      </c>
      <c r="AU36" s="126"/>
      <c r="AV36" s="65">
        <f t="shared" si="7"/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5">
        <v>1697019</v>
      </c>
      <c r="D37" s="138">
        <f t="shared" si="0"/>
        <v>3.643</v>
      </c>
      <c r="E37" s="140">
        <v>5.4</v>
      </c>
      <c r="F37" s="141">
        <v>2</v>
      </c>
      <c r="G37" s="81" t="str">
        <f t="shared" si="8"/>
        <v>0.00</v>
      </c>
      <c r="H37" s="85">
        <v>3500</v>
      </c>
      <c r="I37" s="86">
        <v>3000</v>
      </c>
      <c r="K37" s="87" t="s">
        <v>208</v>
      </c>
      <c r="L37" s="85">
        <v>43</v>
      </c>
      <c r="M37" s="88">
        <v>0.09</v>
      </c>
      <c r="O37" s="107"/>
      <c r="Q37" s="108"/>
      <c r="R37" s="153"/>
      <c r="S37" s="109"/>
      <c r="U37" s="93">
        <v>6.9</v>
      </c>
      <c r="V37" s="94">
        <v>6.9</v>
      </c>
      <c r="W37" s="95">
        <v>6.4</v>
      </c>
      <c r="Y37" s="90">
        <v>10</v>
      </c>
      <c r="Z37" s="96">
        <v>9</v>
      </c>
      <c r="AA37" s="92">
        <v>10</v>
      </c>
      <c r="AC37" s="93">
        <v>7</v>
      </c>
      <c r="AD37" s="91">
        <v>0.7</v>
      </c>
      <c r="AE37" s="97">
        <v>0</v>
      </c>
      <c r="AG37" s="45">
        <f t="shared" si="1"/>
        <v>26</v>
      </c>
      <c r="AI37" s="98">
        <v>113</v>
      </c>
      <c r="AJ37" s="55">
        <f t="shared" si="2"/>
        <v>3433.2360599999997</v>
      </c>
      <c r="AK37" s="98"/>
      <c r="AL37" s="55">
        <f t="shared" si="3"/>
      </c>
      <c r="AM37" s="98">
        <v>14</v>
      </c>
      <c r="AN37" s="55">
        <f t="shared" si="4"/>
        <v>425.3566799999999</v>
      </c>
      <c r="AO37" s="110">
        <v>10</v>
      </c>
      <c r="AQ37" s="100">
        <v>72</v>
      </c>
      <c r="AR37" s="55">
        <f t="shared" si="5"/>
        <v>2187.54864</v>
      </c>
      <c r="AS37" s="98"/>
      <c r="AT37" s="55">
        <f t="shared" si="6"/>
      </c>
      <c r="AU37" s="98">
        <v>21</v>
      </c>
      <c r="AV37" s="55">
        <f t="shared" si="7"/>
        <v>638.03502</v>
      </c>
      <c r="AX37" s="100">
        <v>51831</v>
      </c>
      <c r="AY37" s="101">
        <v>3</v>
      </c>
      <c r="AZ37" s="102">
        <v>3.75</v>
      </c>
      <c r="BA37" s="98">
        <v>28</v>
      </c>
      <c r="BB37" s="102">
        <v>27</v>
      </c>
      <c r="BC37" s="98">
        <v>24</v>
      </c>
      <c r="BD37" s="98"/>
      <c r="BE37" s="103"/>
      <c r="BG37" s="100">
        <v>24</v>
      </c>
      <c r="BH37" s="84" t="s">
        <v>212</v>
      </c>
      <c r="BI37" s="104" t="s">
        <v>211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2">
        <f>(IF(((SUM(AJ12:AJ42))=0)," ",(((AJ47-(D47*AO47*8.346))/AJ47)*100)))</f>
        <v>94.56649748716592</v>
      </c>
      <c r="CK37" s="333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5">
        <v>1700748</v>
      </c>
      <c r="D38" s="138">
        <f t="shared" si="0"/>
        <v>3.729</v>
      </c>
      <c r="E38" s="140">
        <v>5.6</v>
      </c>
      <c r="F38" s="141">
        <v>1.8</v>
      </c>
      <c r="G38" s="81" t="str">
        <f t="shared" si="8"/>
        <v>0.00</v>
      </c>
      <c r="H38" s="85">
        <v>4000</v>
      </c>
      <c r="I38" s="86">
        <v>3000</v>
      </c>
      <c r="K38" s="87" t="s">
        <v>210</v>
      </c>
      <c r="L38" s="85">
        <v>44</v>
      </c>
      <c r="M38" s="88">
        <v>0.08</v>
      </c>
      <c r="O38" s="107"/>
      <c r="Q38" s="108" t="s">
        <v>10</v>
      </c>
      <c r="R38" s="153" t="s">
        <v>10</v>
      </c>
      <c r="S38" s="109" t="s">
        <v>10</v>
      </c>
      <c r="U38" s="93">
        <v>7.1</v>
      </c>
      <c r="V38" s="94">
        <v>7</v>
      </c>
      <c r="W38" s="95">
        <v>6.4</v>
      </c>
      <c r="Y38" s="90">
        <v>10</v>
      </c>
      <c r="Z38" s="96">
        <v>9</v>
      </c>
      <c r="AA38" s="92">
        <v>11</v>
      </c>
      <c r="AC38" s="93">
        <v>7</v>
      </c>
      <c r="AD38" s="91">
        <v>0.1</v>
      </c>
      <c r="AE38" s="97">
        <v>0</v>
      </c>
      <c r="AG38" s="45">
        <f t="shared" si="1"/>
        <v>27</v>
      </c>
      <c r="AI38" s="98">
        <v>159</v>
      </c>
      <c r="AJ38" s="55">
        <f t="shared" si="2"/>
        <v>4944.877740000001</v>
      </c>
      <c r="AK38" s="98"/>
      <c r="AL38" s="55">
        <f t="shared" si="3"/>
      </c>
      <c r="AM38" s="98">
        <v>17</v>
      </c>
      <c r="AN38" s="55">
        <f t="shared" si="4"/>
        <v>528.69762</v>
      </c>
      <c r="AO38" s="110">
        <v>12</v>
      </c>
      <c r="AQ38" s="100">
        <v>162</v>
      </c>
      <c r="AR38" s="55">
        <f t="shared" si="5"/>
        <v>5038.177320000001</v>
      </c>
      <c r="AS38" s="98"/>
      <c r="AT38" s="55">
        <f t="shared" si="6"/>
      </c>
      <c r="AU38" s="98">
        <v>22</v>
      </c>
      <c r="AV38" s="55">
        <f t="shared" si="7"/>
        <v>684.19692</v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39" t="s">
        <v>150</v>
      </c>
      <c r="BR38" s="239" t="s">
        <v>150</v>
      </c>
      <c r="BS38" s="239" t="s">
        <v>150</v>
      </c>
      <c r="BT38" s="105"/>
      <c r="BU38" s="146">
        <f>(AN49)</f>
        <v>92.40287087571501</v>
      </c>
      <c r="BV38" s="239" t="s">
        <v>150</v>
      </c>
      <c r="BW38" s="239" t="s">
        <v>150</v>
      </c>
      <c r="BX38" s="105" t="s">
        <v>129</v>
      </c>
      <c r="BY38" s="105"/>
      <c r="BZ38" s="105">
        <v>0</v>
      </c>
      <c r="CA38" s="145" t="s">
        <v>49</v>
      </c>
      <c r="CB38" s="105" t="s">
        <v>26</v>
      </c>
      <c r="CC38" s="137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5">
        <v>1704530</v>
      </c>
      <c r="D39" s="138">
        <f t="shared" si="0"/>
        <v>3.782</v>
      </c>
      <c r="E39" s="140">
        <v>5</v>
      </c>
      <c r="F39" s="141">
        <v>1.2</v>
      </c>
      <c r="G39" s="81" t="str">
        <f t="shared" si="8"/>
        <v>0.00</v>
      </c>
      <c r="H39" s="85">
        <v>4500</v>
      </c>
      <c r="I39" s="86">
        <v>3000</v>
      </c>
      <c r="K39" s="87" t="s">
        <v>210</v>
      </c>
      <c r="L39" s="85">
        <v>41</v>
      </c>
      <c r="M39" s="88">
        <v>0</v>
      </c>
      <c r="O39" s="107"/>
      <c r="Q39" s="108"/>
      <c r="R39" s="153"/>
      <c r="S39" s="109"/>
      <c r="U39" s="93">
        <v>7.1</v>
      </c>
      <c r="V39" s="94">
        <v>7</v>
      </c>
      <c r="W39" s="95">
        <v>6.3</v>
      </c>
      <c r="Y39" s="90">
        <v>10</v>
      </c>
      <c r="Z39" s="96">
        <v>9</v>
      </c>
      <c r="AA39" s="92">
        <v>10</v>
      </c>
      <c r="AC39" s="93">
        <v>3.5</v>
      </c>
      <c r="AD39" s="91">
        <v>0.1</v>
      </c>
      <c r="AE39" s="97">
        <v>0</v>
      </c>
      <c r="AG39" s="45">
        <f t="shared" si="1"/>
        <v>28</v>
      </c>
      <c r="AI39" s="98">
        <v>216</v>
      </c>
      <c r="AJ39" s="55">
        <f t="shared" si="2"/>
        <v>6813.04608</v>
      </c>
      <c r="AK39" s="98">
        <v>101</v>
      </c>
      <c r="AL39" s="55">
        <f t="shared" si="3"/>
        <v>3185.7298800000003</v>
      </c>
      <c r="AM39" s="98">
        <v>15</v>
      </c>
      <c r="AN39" s="55">
        <f t="shared" si="4"/>
        <v>473.12820000000005</v>
      </c>
      <c r="AO39" s="110">
        <v>9</v>
      </c>
      <c r="AQ39" s="100">
        <v>183</v>
      </c>
      <c r="AR39" s="55">
        <f t="shared" si="5"/>
        <v>5772.16404</v>
      </c>
      <c r="AS39" s="98">
        <v>72</v>
      </c>
      <c r="AT39" s="55">
        <f t="shared" si="6"/>
        <v>2271.01536</v>
      </c>
      <c r="AU39" s="98">
        <v>22</v>
      </c>
      <c r="AV39" s="55">
        <f t="shared" si="7"/>
        <v>693.92136</v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38" t="s">
        <v>150</v>
      </c>
      <c r="BR39" s="238" t="s">
        <v>150</v>
      </c>
      <c r="BS39" s="238" t="s">
        <v>150</v>
      </c>
      <c r="BT39" s="105"/>
      <c r="BU39" s="159">
        <v>85</v>
      </c>
      <c r="BV39" s="238" t="s">
        <v>150</v>
      </c>
      <c r="BW39" s="238" t="s">
        <v>150</v>
      </c>
      <c r="BX39" s="156" t="s">
        <v>129</v>
      </c>
      <c r="BY39" s="105"/>
      <c r="BZ39" s="238" t="s">
        <v>150</v>
      </c>
      <c r="CA39" s="158" t="s">
        <v>49</v>
      </c>
      <c r="CB39" s="156" t="s">
        <v>26</v>
      </c>
      <c r="CC39" s="137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4">
        <v>29</v>
      </c>
      <c r="C40" s="85">
        <v>1708192</v>
      </c>
      <c r="D40" s="138">
        <f t="shared" si="0"/>
        <v>3.662</v>
      </c>
      <c r="E40" s="140">
        <v>5</v>
      </c>
      <c r="F40" s="141">
        <v>1.7</v>
      </c>
      <c r="G40" s="81" t="str">
        <f t="shared" si="8"/>
        <v>0.00</v>
      </c>
      <c r="H40" s="85">
        <v>4600</v>
      </c>
      <c r="I40" s="86">
        <v>0</v>
      </c>
      <c r="K40" s="87" t="s">
        <v>208</v>
      </c>
      <c r="L40" s="85">
        <v>47</v>
      </c>
      <c r="M40" s="88">
        <v>0.39</v>
      </c>
      <c r="O40" s="107"/>
      <c r="Q40" s="108" t="s">
        <v>15</v>
      </c>
      <c r="R40" s="153" t="s">
        <v>15</v>
      </c>
      <c r="S40" s="109" t="s">
        <v>15</v>
      </c>
      <c r="U40" s="93">
        <v>6.9</v>
      </c>
      <c r="V40" s="94">
        <v>6.9</v>
      </c>
      <c r="W40" s="95">
        <v>6.3</v>
      </c>
      <c r="Y40" s="90">
        <v>10</v>
      </c>
      <c r="Z40" s="96">
        <v>9</v>
      </c>
      <c r="AA40" s="92">
        <v>10</v>
      </c>
      <c r="AC40" s="93">
        <v>2.5</v>
      </c>
      <c r="AD40" s="91">
        <v>0.1</v>
      </c>
      <c r="AE40" s="97">
        <v>0</v>
      </c>
      <c r="AG40" s="45">
        <f t="shared" si="1"/>
        <v>29</v>
      </c>
      <c r="AI40" s="98"/>
      <c r="AJ40" s="55">
        <f t="shared" si="2"/>
      </c>
      <c r="AK40" s="98"/>
      <c r="AL40" s="55">
        <f t="shared" si="3"/>
      </c>
      <c r="AM40" s="98"/>
      <c r="AN40" s="55">
        <f t="shared" si="4"/>
      </c>
      <c r="AO40" s="110"/>
      <c r="AQ40" s="100"/>
      <c r="AR40" s="55">
        <f t="shared" si="5"/>
      </c>
      <c r="AS40" s="98"/>
      <c r="AT40" s="55">
        <f t="shared" si="6"/>
      </c>
      <c r="AU40" s="98"/>
      <c r="AV40" s="55">
        <f t="shared" si="7"/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4">
        <v>30</v>
      </c>
      <c r="C41" s="85">
        <v>1712014</v>
      </c>
      <c r="D41" s="138">
        <f t="shared" si="0"/>
        <v>3.822</v>
      </c>
      <c r="E41" s="140">
        <v>5.4</v>
      </c>
      <c r="F41" s="141">
        <v>2</v>
      </c>
      <c r="G41" s="81" t="str">
        <f t="shared" si="8"/>
        <v>0.00</v>
      </c>
      <c r="H41" s="85">
        <v>0</v>
      </c>
      <c r="I41" s="86">
        <v>0</v>
      </c>
      <c r="K41" s="87" t="s">
        <v>208</v>
      </c>
      <c r="L41" s="85">
        <v>41</v>
      </c>
      <c r="M41" s="88">
        <v>0.92</v>
      </c>
      <c r="O41" s="107"/>
      <c r="Q41" s="108"/>
      <c r="R41" s="153"/>
      <c r="S41" s="109"/>
      <c r="U41" s="93">
        <v>6.8</v>
      </c>
      <c r="V41" s="94">
        <v>6.7</v>
      </c>
      <c r="W41" s="95">
        <v>6.1</v>
      </c>
      <c r="Y41" s="90">
        <v>10</v>
      </c>
      <c r="Z41" s="96">
        <v>9</v>
      </c>
      <c r="AA41" s="92">
        <v>11</v>
      </c>
      <c r="AC41" s="93">
        <v>2.5</v>
      </c>
      <c r="AD41" s="91">
        <v>0.2</v>
      </c>
      <c r="AE41" s="97">
        <v>0</v>
      </c>
      <c r="AG41" s="45">
        <f t="shared" si="1"/>
        <v>30</v>
      </c>
      <c r="AI41" s="98"/>
      <c r="AJ41" s="55">
        <f t="shared" si="2"/>
      </c>
      <c r="AK41" s="98"/>
      <c r="AL41" s="55">
        <f t="shared" si="3"/>
      </c>
      <c r="AM41" s="98"/>
      <c r="AN41" s="55">
        <f t="shared" si="4"/>
      </c>
      <c r="AO41" s="110"/>
      <c r="AQ41" s="100"/>
      <c r="AR41" s="55">
        <f t="shared" si="5"/>
      </c>
      <c r="AS41" s="98"/>
      <c r="AT41" s="55">
        <f t="shared" si="6"/>
      </c>
      <c r="AU41" s="98"/>
      <c r="AV41" s="55">
        <f t="shared" si="7"/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4">
        <v>31</v>
      </c>
      <c r="C42" s="113">
        <v>1716448</v>
      </c>
      <c r="D42" s="139">
        <f t="shared" si="0"/>
        <v>4.434</v>
      </c>
      <c r="E42" s="142">
        <v>6</v>
      </c>
      <c r="F42" s="143">
        <v>1.8</v>
      </c>
      <c r="G42" s="184" t="str">
        <f t="shared" si="8"/>
        <v>0.00</v>
      </c>
      <c r="H42" s="113">
        <v>1950</v>
      </c>
      <c r="I42" s="114">
        <v>3000</v>
      </c>
      <c r="K42" s="115" t="s">
        <v>208</v>
      </c>
      <c r="L42" s="113">
        <v>31</v>
      </c>
      <c r="M42" s="116">
        <v>0.01</v>
      </c>
      <c r="O42" s="117"/>
      <c r="Q42" s="133"/>
      <c r="R42" s="112"/>
      <c r="S42" s="114"/>
      <c r="U42" s="134">
        <v>6.9</v>
      </c>
      <c r="V42" s="135">
        <v>6.8</v>
      </c>
      <c r="W42" s="136">
        <v>6.7</v>
      </c>
      <c r="Y42" s="133">
        <v>10</v>
      </c>
      <c r="Z42" s="113">
        <v>9</v>
      </c>
      <c r="AA42" s="114">
        <v>9</v>
      </c>
      <c r="AC42" s="134">
        <v>4</v>
      </c>
      <c r="AD42" s="112">
        <v>0.5</v>
      </c>
      <c r="AE42" s="116">
        <v>0.01</v>
      </c>
      <c r="AG42" s="45">
        <f t="shared" si="1"/>
        <v>31</v>
      </c>
      <c r="AI42" s="126"/>
      <c r="AJ42" s="65">
        <f t="shared" si="2"/>
      </c>
      <c r="AK42" s="126"/>
      <c r="AL42" s="65">
        <f t="shared" si="3"/>
      </c>
      <c r="AM42" s="126"/>
      <c r="AN42" s="65">
        <f t="shared" si="4"/>
      </c>
      <c r="AO42" s="127"/>
      <c r="AQ42" s="128"/>
      <c r="AR42" s="65">
        <f t="shared" si="5"/>
      </c>
      <c r="AS42" s="126"/>
      <c r="AT42" s="65">
        <f t="shared" si="6"/>
      </c>
      <c r="AU42" s="126"/>
      <c r="AV42" s="65">
        <f t="shared" si="7"/>
      </c>
      <c r="AX42" s="128">
        <v>43272</v>
      </c>
      <c r="AY42" s="129">
        <v>5</v>
      </c>
      <c r="AZ42" s="130">
        <v>2.25</v>
      </c>
      <c r="BA42" s="126">
        <v>27.9</v>
      </c>
      <c r="BB42" s="130">
        <v>30</v>
      </c>
      <c r="BC42" s="126">
        <v>24</v>
      </c>
      <c r="BD42" s="126"/>
      <c r="BE42" s="131"/>
      <c r="BG42" s="128">
        <v>24</v>
      </c>
      <c r="BH42" s="111" t="s">
        <v>212</v>
      </c>
      <c r="BI42" s="132" t="s">
        <v>211</v>
      </c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9" t="s">
        <v>150</v>
      </c>
      <c r="BR43" s="239" t="s">
        <v>150</v>
      </c>
      <c r="BS43" s="239" t="s">
        <v>150</v>
      </c>
      <c r="BT43" s="105"/>
      <c r="BU43" s="146">
        <f>(AU49)</f>
        <v>88.90380313199105</v>
      </c>
      <c r="BV43" s="239" t="s">
        <v>150</v>
      </c>
      <c r="BW43" s="239" t="s">
        <v>150</v>
      </c>
      <c r="BX43" s="105" t="s">
        <v>129</v>
      </c>
      <c r="BY43" s="105"/>
      <c r="BZ43" s="105">
        <v>0</v>
      </c>
      <c r="CA43" s="145" t="s">
        <v>49</v>
      </c>
      <c r="CB43" s="105" t="s">
        <v>26</v>
      </c>
      <c r="CC43" s="137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9">
        <f>(IF(((SUM(C12:C42))=0)," ",((MAX(C12:C42))-C11)))</f>
        <v>87715</v>
      </c>
      <c r="D44" s="228">
        <f>(IF(((SUM(D12:D42))=0)," ",(SUM(D12:D42))))</f>
        <v>87.71499999999999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46450</v>
      </c>
      <c r="I44" s="196">
        <f>(IF(((SUM(I12:I42))=0)," ",(SUM(I12:I42))))</f>
        <v>46750</v>
      </c>
      <c r="K44" s="200" t="s">
        <v>150</v>
      </c>
      <c r="L44" s="201" t="s">
        <v>150</v>
      </c>
      <c r="M44" s="202">
        <f>(IF(((SUM(M12:M42))=0)," ",(SUM(M11:M42))))</f>
        <v>3.8599999999999994</v>
      </c>
      <c r="O44" s="203" t="str">
        <f>(IF(((SUM(O12:O42))=0),"0.0",(SUM(O11:O42))))</f>
        <v>0.0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322266</v>
      </c>
      <c r="AY44" s="201" t="s">
        <v>150</v>
      </c>
      <c r="AZ44" s="212">
        <f>(IF(((SUM(AZ12:AZ42))=0)," ",(SUM(AZ12:AZ42))))</f>
        <v>21</v>
      </c>
      <c r="BA44" s="199">
        <f>(IF(((SUM(BA12:BA42))=0)," ",(SUM(BA12:BA42))))</f>
        <v>195.4</v>
      </c>
      <c r="BB44" s="207" t="s">
        <v>150</v>
      </c>
      <c r="BC44" s="199">
        <f>(IF(((SUM(BC12:BC42))=0)," ",(SUM(BC12:BC42))))</f>
        <v>156</v>
      </c>
      <c r="BD44" s="189" t="str">
        <f>(IF(((SUM(BD12:BD42))=0)," ",(SUM(BD12:BD42))))</f>
        <v> </v>
      </c>
      <c r="BE44" s="210" t="s">
        <v>150</v>
      </c>
      <c r="BG44" s="213">
        <f>(IF(((SUM(BG12:BG42))=0)," ",(SUM(BG12:BG42))))</f>
        <v>156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38" t="s">
        <v>150</v>
      </c>
      <c r="BR44" s="238" t="s">
        <v>150</v>
      </c>
      <c r="BS44" s="238" t="s">
        <v>150</v>
      </c>
      <c r="BT44" s="105"/>
      <c r="BU44" s="159">
        <v>85</v>
      </c>
      <c r="BV44" s="238" t="s">
        <v>150</v>
      </c>
      <c r="BW44" s="238" t="s">
        <v>150</v>
      </c>
      <c r="BX44" s="156" t="s">
        <v>129</v>
      </c>
      <c r="BY44" s="105"/>
      <c r="BZ44" s="238" t="s">
        <v>150</v>
      </c>
      <c r="CA44" s="158" t="s">
        <v>49</v>
      </c>
      <c r="CB44" s="156" t="s">
        <v>26</v>
      </c>
      <c r="CC44" s="137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4.434</v>
      </c>
      <c r="E45" s="216">
        <f>(IF((SUM(E12:E42))=0," ",(MAX(E12:E42))))</f>
        <v>6</v>
      </c>
      <c r="F45" s="217">
        <f>(IF((SUM(F12:F42))=0," ",(MAX(F12:F42))))</f>
        <v>2</v>
      </c>
      <c r="G45" s="216">
        <f>(MAX(G12:G42))</f>
        <v>0</v>
      </c>
      <c r="H45" s="162">
        <f>(IF((SUM(H12:H42))=0," ",(MAX(H12:H42))))</f>
        <v>5000</v>
      </c>
      <c r="I45" s="163">
        <f>(IF((SUM(I12:I42))=0," ",(MAX(I12:I42))))</f>
        <v>5750</v>
      </c>
      <c r="K45" s="180" t="s">
        <v>150</v>
      </c>
      <c r="L45" s="183">
        <f>(IF((SUM(L12:L42))=0," ",(MAX(L12:L42))))</f>
        <v>47</v>
      </c>
      <c r="M45" s="219">
        <f>(IF((SUM(M12:M42))=0," ",(MAX(M12:M42))))</f>
        <v>0.92</v>
      </c>
      <c r="O45" s="220" t="s">
        <v>150</v>
      </c>
      <c r="Q45" s="221" t="s">
        <v>150</v>
      </c>
      <c r="R45" s="233" t="str">
        <f>(IF(((SUM(R12:R42))=0),"-",(MAX(R12:R42))))</f>
        <v>-</v>
      </c>
      <c r="S45" s="234" t="str">
        <f>(IF(((SUM(S12:S42))=0),"-",(MAX(S12:S42))))</f>
        <v>-</v>
      </c>
      <c r="U45" s="222">
        <f>(IF((SUM(U12:U42))=0," ",(MAX(U12:U42))))</f>
        <v>7.5</v>
      </c>
      <c r="V45" s="183">
        <f>(IF((SUM(V12:V42))=0," ",(MAX(V12:V42))))</f>
        <v>7.3</v>
      </c>
      <c r="W45" s="223">
        <f>(IF((SUM(W12:W42))=0," ",(MAX(W12:W42))))</f>
        <v>7</v>
      </c>
      <c r="Y45" s="218">
        <f>(IF((SUM(Y12:Y42))=0," ",(MAX(Y12:Y42))))</f>
        <v>11</v>
      </c>
      <c r="Z45" s="162">
        <f>(IF((SUM(Z12:Z42))=0," ",(MAX(Z12:Z42))))</f>
        <v>10</v>
      </c>
      <c r="AA45" s="163">
        <f>(IF((SUM(AA12:AA42))=0," ",(MAX(AA12:AA42))))</f>
        <v>11</v>
      </c>
      <c r="AC45" s="222">
        <f>(IF((SUM(AC12:AC42))=0," ",(MAX(AC12:AC42))))</f>
        <v>10</v>
      </c>
      <c r="AD45" s="184">
        <f>(IF((SUM(AD12:AD42))=0," ",(MAX(AD12:AD42))))</f>
        <v>0.7</v>
      </c>
      <c r="AE45" s="219">
        <f>(IF((COUNT(AE12:AE42))=0," ",(MAX(AE12:AE42))))</f>
        <v>0.1</v>
      </c>
      <c r="AG45" s="26" t="str">
        <f>($A45)</f>
        <v>Maximum</v>
      </c>
      <c r="AI45" s="162">
        <f aca="true" t="shared" si="9" ref="AI45:AO45">(IF((SUM(AI12:AI42))=0," ",(MAX(AI12:AI42))))</f>
        <v>287</v>
      </c>
      <c r="AJ45" s="162">
        <f t="shared" si="9"/>
        <v>6813.04608</v>
      </c>
      <c r="AK45" s="218">
        <f t="shared" si="9"/>
        <v>175</v>
      </c>
      <c r="AL45" s="163">
        <f t="shared" si="9"/>
        <v>3407.9325</v>
      </c>
      <c r="AM45" s="218">
        <f t="shared" si="9"/>
        <v>17</v>
      </c>
      <c r="AN45" s="163">
        <f t="shared" si="9"/>
        <v>528.69762</v>
      </c>
      <c r="AO45" s="224">
        <f t="shared" si="9"/>
        <v>13</v>
      </c>
      <c r="AQ45" s="218">
        <f aca="true" t="shared" si="10" ref="AQ45:AV45">(IF((SUM(AQ12:AQ42))=0," ",(MAX(AQ12:AQ42))))</f>
        <v>227</v>
      </c>
      <c r="AR45" s="163">
        <f t="shared" si="10"/>
        <v>5772.16404</v>
      </c>
      <c r="AS45" s="218">
        <f t="shared" si="10"/>
        <v>106</v>
      </c>
      <c r="AT45" s="163">
        <f t="shared" si="10"/>
        <v>2762.625</v>
      </c>
      <c r="AU45" s="218">
        <f t="shared" si="10"/>
        <v>25</v>
      </c>
      <c r="AV45" s="163">
        <f t="shared" si="10"/>
        <v>693.92136</v>
      </c>
      <c r="AX45" s="221" t="s">
        <v>150</v>
      </c>
      <c r="AY45" s="183">
        <f>(IF((SUM(AY12:AY42))=0," ",(MAX(AY12:AY42))))</f>
        <v>5</v>
      </c>
      <c r="AZ45" s="225" t="s">
        <v>150</v>
      </c>
      <c r="BA45" s="221" t="s">
        <v>150</v>
      </c>
      <c r="BB45" s="223">
        <f>(IF((SUM(BB12:BB42))=0," ",(MAX(BB12:BB42))))</f>
        <v>30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6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2.153</v>
      </c>
      <c r="E46" s="227">
        <f>(IF((SUM(E12:E42))=0," ",(MIN(E12:E42))))</f>
        <v>3.4</v>
      </c>
      <c r="F46" s="228">
        <f>(IF((SUM(F12:F42))=0," ",(MIN(F12:F42))))</f>
        <v>0.6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11</v>
      </c>
      <c r="M46" s="202">
        <f>(IF((SUM(M12:M42))=0," ",(MIN(M12:M42))))</f>
        <v>0</v>
      </c>
      <c r="O46" s="229" t="s">
        <v>150</v>
      </c>
      <c r="Q46" s="208" t="s">
        <v>150</v>
      </c>
      <c r="R46" s="204" t="str">
        <f>(IF(((SUM(R12:R42))=0),"-",(MIN(R12:R42))))</f>
        <v>-</v>
      </c>
      <c r="S46" s="205" t="str">
        <f>(IF(((SUM(S12:S42))=0),"-",(MIN(S12:S42))))</f>
        <v>-</v>
      </c>
      <c r="U46" s="230">
        <f>(IF((SUM(U12:U42))=0," ",(MIN(U12:U42))))</f>
        <v>6.8</v>
      </c>
      <c r="V46" s="192">
        <f>(IF((SUM(V12:V42))=0," ",(MIN(V12:V42))))</f>
        <v>6.6</v>
      </c>
      <c r="W46" s="212">
        <f>(IF((SUM(W12:W42))=0," ",(MIN(W12:W42))))</f>
        <v>6.1</v>
      </c>
      <c r="Y46" s="199">
        <f aca="true" t="shared" si="11" ref="Y46:AD46">(IF((SUM(Y12:Y42))=0," ",(MIN(Y12:Y42))))</f>
        <v>9</v>
      </c>
      <c r="Z46" s="189">
        <f t="shared" si="11"/>
        <v>8</v>
      </c>
      <c r="AA46" s="196">
        <f t="shared" si="11"/>
        <v>8</v>
      </c>
      <c r="AB46" t="str">
        <f t="shared" si="11"/>
        <v> </v>
      </c>
      <c r="AC46" s="230">
        <f t="shared" si="11"/>
        <v>2.5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113</v>
      </c>
      <c r="AJ46" s="189">
        <f t="shared" si="12"/>
        <v>3047.63616</v>
      </c>
      <c r="AK46" s="199">
        <f t="shared" si="12"/>
        <v>101</v>
      </c>
      <c r="AL46" s="196">
        <f t="shared" si="12"/>
        <v>3049.3125</v>
      </c>
      <c r="AM46" s="199">
        <f t="shared" si="12"/>
        <v>12</v>
      </c>
      <c r="AN46" s="196">
        <f t="shared" si="12"/>
        <v>231.08472</v>
      </c>
      <c r="AO46" s="231">
        <f t="shared" si="12"/>
        <v>9</v>
      </c>
      <c r="AQ46" s="199">
        <f aca="true" t="shared" si="13" ref="AQ46:AV46">(IF((SUM(AQ12:AQ42))=0," ",(MIN(AQ12:AQ42))))</f>
        <v>72</v>
      </c>
      <c r="AR46" s="196">
        <f t="shared" si="13"/>
        <v>2187.54864</v>
      </c>
      <c r="AS46" s="199">
        <f t="shared" si="13"/>
        <v>58</v>
      </c>
      <c r="AT46" s="196">
        <f t="shared" si="13"/>
        <v>1067.08632</v>
      </c>
      <c r="AU46" s="199">
        <f t="shared" si="13"/>
        <v>14</v>
      </c>
      <c r="AV46" s="196">
        <f t="shared" si="13"/>
        <v>257.57256</v>
      </c>
      <c r="AX46" s="208" t="s">
        <v>150</v>
      </c>
      <c r="AY46" s="192">
        <f>(IF((SUM(AY12:AY42))=0," ",(MIN(AY12:AY42))))</f>
        <v>3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32" t="s">
        <v>150</v>
      </c>
      <c r="BH46" s="214" t="s">
        <v>150</v>
      </c>
      <c r="BI46" s="215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2.8295161290322577</v>
      </c>
      <c r="E47" s="216">
        <f>(IF((SUM(E12:E42))=0," ",(AVERAGE(E12:E42))))</f>
        <v>4.32258064516129</v>
      </c>
      <c r="F47" s="217">
        <f>(IF((SUM(F12:F42))=0," ",(AVERAGE(F12:F42))))</f>
        <v>1.0548387096774192</v>
      </c>
      <c r="G47" s="216" t="str">
        <f>(IF((SUM(G12:G42))=0,"0.000",(AVERAGE(G12:G42))))</f>
        <v>0.000</v>
      </c>
      <c r="H47" s="162">
        <f>(IF((SUM(H12:H42))=0," ",(AVERAGE(H12:H42))))</f>
        <v>1498.3870967741937</v>
      </c>
      <c r="I47" s="163">
        <f>(IF((SUM(I12:I42))=0," ",(AVERAGE(I12:I42))))</f>
        <v>1508.0645161290322</v>
      </c>
      <c r="K47" s="180" t="s">
        <v>150</v>
      </c>
      <c r="L47" s="183">
        <f>(IF((SUM(L12:L42))=0," ",(AVERAGE(L12:L42))))</f>
        <v>32.096774193548384</v>
      </c>
      <c r="M47" s="219">
        <f>(IF((SUM(M12:M42))=0," ",(AVERAGE(M12:M42))))</f>
        <v>0.12451612903225805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7.154838709677419</v>
      </c>
      <c r="V47" s="183">
        <f>(IF((SUM(V12:V42))=0," ",(AVERAGE(V12:V42))))</f>
        <v>7.038709677419354</v>
      </c>
      <c r="W47" s="223">
        <f>(IF((SUM(W12:W42))=0," ",(AVERAGE(W12:W42))))</f>
        <v>6.4967741935483865</v>
      </c>
      <c r="Y47" s="218">
        <f>(IF((SUM(Y12:Y42))=0," ",(AVERAGE(Y12:Y42))))</f>
        <v>10.161290322580646</v>
      </c>
      <c r="Z47" s="162">
        <f>(IF((SUM(Z12:Z42))=0," ",(AVERAGE(Z12:Z42))))</f>
        <v>9.225806451612904</v>
      </c>
      <c r="AA47" s="163">
        <f>(IF((SUM(AA12:AA42))=0," ",(AVERAGE(AA12:AA42))))</f>
        <v>9.741935483870968</v>
      </c>
      <c r="AC47" s="222">
        <f>(IF((SUM(AC12:AC42))=0," ",(AVERAGE(AC12:AC42))))</f>
        <v>5.451612903225806</v>
      </c>
      <c r="AD47" s="184">
        <f>(IF((SUM(AD12:AD42))=0," ",(AVERAGE(AD12:AD42))))</f>
        <v>0.10483870967741937</v>
      </c>
      <c r="AE47" s="219">
        <f>(IF((COUNT(AE12:AE42))=0," ",(AVERAGE(AE12:AE42))))</f>
        <v>0.005161290322580646</v>
      </c>
      <c r="AG47" s="26" t="str">
        <f>($A47)</f>
        <v>Average</v>
      </c>
      <c r="AI47" s="162">
        <f aca="true" t="shared" si="14" ref="AI47:AO47">(IF((SUM(AI12:AI42))=0," ",(AVERAGE(AI12:AI42))))</f>
        <v>203.5</v>
      </c>
      <c r="AJ47" s="162">
        <f t="shared" si="14"/>
        <v>4599.738655</v>
      </c>
      <c r="AK47" s="218">
        <f t="shared" si="14"/>
        <v>140.75</v>
      </c>
      <c r="AL47" s="163">
        <f t="shared" si="14"/>
        <v>3192.66042</v>
      </c>
      <c r="AM47" s="218">
        <f t="shared" si="14"/>
        <v>14.833333333333334</v>
      </c>
      <c r="AN47" s="163">
        <f t="shared" si="14"/>
        <v>349.448085</v>
      </c>
      <c r="AO47" s="224">
        <f t="shared" si="14"/>
        <v>10.583333333333334</v>
      </c>
      <c r="AQ47" s="218">
        <f aca="true" t="shared" si="15" ref="AQ47:AV47">(IF((SUM(AQ12:AQ42))=0," ",(AVERAGE(AQ12:AQ42))))</f>
        <v>186.25</v>
      </c>
      <c r="AR47" s="163">
        <f t="shared" si="15"/>
        <v>4218.614555</v>
      </c>
      <c r="AS47" s="218">
        <f t="shared" si="15"/>
        <v>83</v>
      </c>
      <c r="AT47" s="163">
        <f t="shared" si="15"/>
        <v>1992.5552699999998</v>
      </c>
      <c r="AU47" s="218">
        <f t="shared" si="15"/>
        <v>20.666666666666668</v>
      </c>
      <c r="AV47" s="163">
        <f t="shared" si="15"/>
        <v>487.77254500000004</v>
      </c>
      <c r="AX47" s="218">
        <f aca="true" t="shared" si="16" ref="AX47:BE47">(IF((SUM(AX12:AX42))=0," ",(AVERAGE(AX12:AX42))))</f>
        <v>46038</v>
      </c>
      <c r="AY47" s="183">
        <f t="shared" si="16"/>
        <v>3.2857142857142856</v>
      </c>
      <c r="AZ47" s="223">
        <f t="shared" si="16"/>
        <v>3</v>
      </c>
      <c r="BA47" s="218">
        <f t="shared" si="16"/>
        <v>27.914285714285715</v>
      </c>
      <c r="BB47" s="223">
        <f t="shared" si="16"/>
        <v>27.714285714285715</v>
      </c>
      <c r="BC47" s="218">
        <f t="shared" si="16"/>
        <v>22.285714285714285</v>
      </c>
      <c r="BD47" s="162" t="str">
        <f t="shared" si="16"/>
        <v> </v>
      </c>
      <c r="BE47" s="219" t="str">
        <f t="shared" si="16"/>
        <v> </v>
      </c>
      <c r="BG47" s="133">
        <f>(IF((SUM(BG12:BG42))=0," ",(AVERAGE(BG12:BG42))))</f>
        <v>22.285714285714285</v>
      </c>
      <c r="BH47" s="181" t="s">
        <v>150</v>
      </c>
      <c r="BI47" s="182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42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92.40287087571501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88.90380313199105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4"/>
      <c r="C52" s="4"/>
      <c r="D52" s="4"/>
      <c r="E52" s="4"/>
      <c r="F52" s="4"/>
      <c r="G52" s="4"/>
      <c r="H52" s="4"/>
      <c r="I52" s="4"/>
      <c r="K52" s="4"/>
      <c r="L52" s="4"/>
      <c r="M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I52" s="4"/>
      <c r="AJ52" s="4"/>
      <c r="AK52" s="4"/>
      <c r="AL52" s="4"/>
      <c r="AM52" s="4"/>
      <c r="AN52" s="4"/>
      <c r="AO52" s="4"/>
      <c r="AQ52" s="4"/>
      <c r="AR52" s="4"/>
      <c r="AS52" s="4"/>
      <c r="AT52" s="4"/>
      <c r="AU52" s="4"/>
      <c r="AV52" s="4"/>
      <c r="AX52" s="4"/>
      <c r="AY52" s="4"/>
      <c r="AZ52" s="4"/>
      <c r="BA52" s="4"/>
      <c r="BB52" s="4"/>
      <c r="BC52" s="4"/>
      <c r="BD52" s="4"/>
      <c r="BE52" s="4"/>
      <c r="BG52" s="4"/>
      <c r="BH52" s="4"/>
      <c r="BI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P52" s="4"/>
    </row>
    <row r="53" spans="1:94" ht="18" customHeight="1">
      <c r="A53" s="4"/>
      <c r="C53" s="4"/>
      <c r="D53" s="4"/>
      <c r="E53" s="4"/>
      <c r="F53" s="4"/>
      <c r="G53" s="4"/>
      <c r="H53" s="4"/>
      <c r="I53" s="4"/>
      <c r="K53" s="4"/>
      <c r="L53" s="4"/>
      <c r="M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I53" s="4"/>
      <c r="AJ53" s="4"/>
      <c r="AK53" s="4"/>
      <c r="AL53" s="4"/>
      <c r="AM53" s="4"/>
      <c r="AN53" s="4"/>
      <c r="AO53" s="4"/>
      <c r="AQ53" s="4"/>
      <c r="AR53" s="4"/>
      <c r="AS53" s="4"/>
      <c r="AT53" s="4"/>
      <c r="AU53" s="4"/>
      <c r="AV53" s="4"/>
      <c r="AX53" s="4"/>
      <c r="AY53" s="4"/>
      <c r="AZ53" s="4"/>
      <c r="BA53" s="4"/>
      <c r="BB53" s="4"/>
      <c r="BC53" s="4"/>
      <c r="BD53" s="4"/>
      <c r="BE53" s="4"/>
      <c r="BG53" s="4"/>
      <c r="BH53" s="4"/>
      <c r="BI53" s="4"/>
      <c r="BK53" s="4"/>
      <c r="BL53" s="4"/>
      <c r="BN53" s="4"/>
      <c r="BP53" s="4"/>
      <c r="BT53" s="4"/>
      <c r="BY53" s="4"/>
      <c r="CC53" s="4"/>
      <c r="CP53" s="4"/>
    </row>
    <row r="54" spans="1:94" ht="18" customHeight="1">
      <c r="A54" s="4"/>
      <c r="C54" s="4"/>
      <c r="D54" s="4"/>
      <c r="E54" s="4"/>
      <c r="F54" s="4"/>
      <c r="G54" s="4"/>
      <c r="H54" s="4"/>
      <c r="I54" s="4"/>
      <c r="K54" s="4"/>
      <c r="L54" s="4"/>
      <c r="M54" s="4"/>
      <c r="O54" s="4"/>
      <c r="Q54" s="4"/>
      <c r="R54" s="4"/>
      <c r="S54" s="4"/>
      <c r="U54" s="4"/>
      <c r="V54" s="4"/>
      <c r="W54" s="4"/>
      <c r="Y54" s="4"/>
      <c r="Z54" s="4"/>
      <c r="AA54" s="4"/>
      <c r="AC54" s="4"/>
      <c r="AD54" s="4"/>
      <c r="AE54" s="4"/>
      <c r="AG54" s="4"/>
      <c r="AI54" s="4"/>
      <c r="AJ54" s="4"/>
      <c r="AK54" s="4"/>
      <c r="AL54" s="4"/>
      <c r="AM54" s="4"/>
      <c r="AN54" s="4"/>
      <c r="AO54" s="4"/>
      <c r="AQ54" s="4"/>
      <c r="AR54" s="4"/>
      <c r="AS54" s="4"/>
      <c r="AT54" s="4"/>
      <c r="AU54" s="4"/>
      <c r="AV54" s="4"/>
      <c r="AX54" s="4"/>
      <c r="AY54" s="4"/>
      <c r="AZ54" s="4"/>
      <c r="BA54" s="4"/>
      <c r="BB54" s="4"/>
      <c r="BC54" s="4"/>
      <c r="BD54" s="4"/>
      <c r="BE54" s="4"/>
      <c r="BG54" s="4"/>
      <c r="BH54" s="4"/>
      <c r="BI54" s="4"/>
      <c r="BK54" s="4"/>
      <c r="BL54" s="4"/>
      <c r="BN54" s="4"/>
      <c r="BP54" s="4"/>
      <c r="BT54" s="4"/>
      <c r="BY54" s="4"/>
      <c r="CC54" s="4"/>
      <c r="CP54" s="4"/>
    </row>
    <row r="55" spans="1:94" ht="18" customHeight="1">
      <c r="A55" s="3"/>
      <c r="C55" s="3"/>
      <c r="D55" s="3"/>
      <c r="E55" s="3"/>
      <c r="F55" s="3"/>
      <c r="G55" s="3"/>
      <c r="H55" s="3"/>
      <c r="I55" s="3"/>
      <c r="K55" s="3"/>
      <c r="L55" s="3"/>
      <c r="M55" s="3"/>
      <c r="O55" s="3"/>
      <c r="Q55" s="3"/>
      <c r="R55" s="3"/>
      <c r="S55" s="3"/>
      <c r="U55" s="3"/>
      <c r="V55" s="3"/>
      <c r="W55" s="3"/>
      <c r="Y55" s="3"/>
      <c r="Z55" s="3"/>
      <c r="AA55" s="3"/>
      <c r="AC55" s="3"/>
      <c r="AD55" s="3"/>
      <c r="AE55" s="3"/>
      <c r="AG55" s="4"/>
      <c r="AI55" s="4"/>
      <c r="AJ55" s="4"/>
      <c r="AK55" s="4"/>
      <c r="AL55" s="4"/>
      <c r="AM55" s="4"/>
      <c r="AN55" s="4"/>
      <c r="AO55" s="4"/>
      <c r="AQ55" s="4"/>
      <c r="AR55" s="4"/>
      <c r="AS55" s="4"/>
      <c r="AT55" s="4"/>
      <c r="AU55" s="4"/>
      <c r="AV55" s="4"/>
      <c r="AX55" s="4"/>
      <c r="AY55" s="4"/>
      <c r="AZ55" s="4"/>
      <c r="BA55" s="4"/>
      <c r="BB55" s="4"/>
      <c r="BC55" s="4"/>
      <c r="BD55" s="4"/>
      <c r="BE55" s="4"/>
      <c r="BG55" s="4"/>
      <c r="BH55" s="4"/>
      <c r="BI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P55" s="4"/>
    </row>
    <row r="56" spans="1:94" ht="18" customHeight="1">
      <c r="A56" s="3"/>
      <c r="C56" s="3"/>
      <c r="D56" s="3"/>
      <c r="E56" s="3"/>
      <c r="F56" s="3"/>
      <c r="G56" s="3"/>
      <c r="H56" s="3"/>
      <c r="I56" s="3"/>
      <c r="K56" s="3"/>
      <c r="L56" s="3"/>
      <c r="M56" s="3"/>
      <c r="O56" s="3"/>
      <c r="Q56" s="3"/>
      <c r="R56" s="3"/>
      <c r="S56" s="3"/>
      <c r="U56" s="3"/>
      <c r="V56" s="3"/>
      <c r="W56" s="3"/>
      <c r="Y56" s="3"/>
      <c r="Z56" s="3"/>
      <c r="AA56" s="3"/>
      <c r="AC56" s="3"/>
      <c r="AD56" s="3"/>
      <c r="AE56" s="3"/>
      <c r="AG56" s="4"/>
      <c r="AI56" s="4"/>
      <c r="AJ56" s="4"/>
      <c r="AK56" s="4"/>
      <c r="AL56" s="4"/>
      <c r="AM56" s="4"/>
      <c r="AN56" s="4"/>
      <c r="AO56" s="4"/>
      <c r="AQ56" s="4"/>
      <c r="AR56" s="4"/>
      <c r="AS56" s="4"/>
      <c r="AT56" s="4"/>
      <c r="AU56" s="4"/>
      <c r="AV56" s="4"/>
      <c r="AX56" s="4"/>
      <c r="AY56" s="4"/>
      <c r="AZ56" s="4"/>
      <c r="BA56" s="4"/>
      <c r="BB56" s="4"/>
      <c r="BC56" s="4"/>
      <c r="BD56" s="4"/>
      <c r="BE56" s="4"/>
      <c r="BG56" s="4"/>
      <c r="BH56" s="4"/>
      <c r="BI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P56" s="4"/>
    </row>
    <row r="57" spans="1:94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P57" s="4"/>
    </row>
    <row r="58" spans="1:94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P58" s="4"/>
    </row>
    <row r="59" spans="1:94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 password="CCAE" sheet="1" objects="1" scenarios="1"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0" man="1"/>
    <brk id="6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193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April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April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1">
        <v>1716448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5">
        <v>1720687</v>
      </c>
      <c r="D12" s="138">
        <f aca="true" t="shared" si="0" ref="D12:D42">(IF(C12=0," ",((C12-C11)/1000)))</f>
        <v>4.239</v>
      </c>
      <c r="E12" s="140">
        <v>5.1</v>
      </c>
      <c r="F12" s="141">
        <v>1.6</v>
      </c>
      <c r="G12" s="81" t="str">
        <f>(IF(C12=0," ","0.00"))</f>
        <v>0.00</v>
      </c>
      <c r="H12" s="85">
        <v>2500</v>
      </c>
      <c r="I12" s="86">
        <v>5500</v>
      </c>
      <c r="K12" s="87" t="s">
        <v>210</v>
      </c>
      <c r="L12" s="85">
        <v>28</v>
      </c>
      <c r="M12" s="88">
        <v>0</v>
      </c>
      <c r="O12" s="89"/>
      <c r="Q12" s="90"/>
      <c r="R12" s="91"/>
      <c r="S12" s="92"/>
      <c r="U12" s="93">
        <v>7</v>
      </c>
      <c r="V12" s="94">
        <v>6.9</v>
      </c>
      <c r="W12" s="95">
        <v>6.8</v>
      </c>
      <c r="Y12" s="90">
        <v>11</v>
      </c>
      <c r="Z12" s="96">
        <v>10</v>
      </c>
      <c r="AA12" s="92">
        <v>10</v>
      </c>
      <c r="AC12" s="93">
        <v>3.5</v>
      </c>
      <c r="AD12" s="91">
        <v>0.1</v>
      </c>
      <c r="AE12" s="97">
        <v>0</v>
      </c>
      <c r="AG12" s="45">
        <f aca="true" t="shared" si="1" ref="AG12:AG42">($A12)</f>
        <v>1</v>
      </c>
      <c r="AI12" s="98"/>
      <c r="AJ12" s="55">
        <f aca="true" t="shared" si="2" ref="AJ12:AJ42">IF(AI12=0,"",(D12*AI12*8.34))</f>
      </c>
      <c r="AK12" s="98"/>
      <c r="AL12" s="55">
        <f aca="true" t="shared" si="3" ref="AL12:AL42">IF(AK12=0,"",(D12*AK12*8.34))</f>
      </c>
      <c r="AM12" s="98"/>
      <c r="AN12" s="55">
        <f aca="true" t="shared" si="4" ref="AN12:AN42">IF(AM12=0,"",(D12*AM12*8.34))</f>
      </c>
      <c r="AO12" s="99"/>
      <c r="AQ12" s="100"/>
      <c r="AR12" s="55">
        <f aca="true" t="shared" si="5" ref="AR12:AR42">IF(AQ12=0,"",(D12*AQ12*8.34))</f>
      </c>
      <c r="AS12" s="98"/>
      <c r="AT12" s="55">
        <f aca="true" t="shared" si="6" ref="AT12:AT42">IF(AS12=0,"",(D12*AS12*8.34))</f>
      </c>
      <c r="AU12" s="98"/>
      <c r="AV12" s="55">
        <f aca="true" t="shared" si="7" ref="AV12:AV42">IF(AU12=0,"",(D12*AU12*8.34))</f>
      </c>
      <c r="AX12" s="100"/>
      <c r="AY12" s="101"/>
      <c r="AZ12" s="102"/>
      <c r="BA12" s="98"/>
      <c r="BB12" s="102"/>
      <c r="BC12" s="98"/>
      <c r="BD12" s="98"/>
      <c r="BE12" s="103"/>
      <c r="BG12" s="100"/>
      <c r="BH12" s="84"/>
      <c r="BI12" s="104"/>
      <c r="BK12" s="17"/>
      <c r="BL12" s="19"/>
      <c r="BM12" s="56" t="s">
        <v>117</v>
      </c>
      <c r="BN12" s="20"/>
      <c r="BO12" s="57" t="s">
        <v>130</v>
      </c>
      <c r="BP12" s="26"/>
      <c r="BQ12" s="150">
        <f>(IF(((SUM(AN12:AN42))=0)," ",(AVERAGE(AN12:AN42))))</f>
        <v>431.5821692307692</v>
      </c>
      <c r="BR12" s="150">
        <f>MAX(AN12:AN42)</f>
        <v>556.41978</v>
      </c>
      <c r="BS12" s="105" t="s">
        <v>126</v>
      </c>
      <c r="BT12" s="105"/>
      <c r="BU12" s="150">
        <f>(IF(((SUM(AM12:AM42))=0)," ",(AVERAGE(AM12:AM42))))</f>
        <v>16.46153846153846</v>
      </c>
      <c r="BV12" s="144">
        <f>(CG23)</f>
        <v>18.666666666666668</v>
      </c>
      <c r="BW12" s="150">
        <f>MAX(AM12:AM42)</f>
        <v>21</v>
      </c>
      <c r="BX12" s="105" t="s">
        <v>128</v>
      </c>
      <c r="BY12" s="105"/>
      <c r="BZ12" s="105">
        <v>0</v>
      </c>
      <c r="CA12" s="145" t="s">
        <v>47</v>
      </c>
      <c r="CB12" s="105">
        <v>24</v>
      </c>
      <c r="CC12" s="137"/>
      <c r="CE12" s="24"/>
      <c r="CF12" s="20" t="s">
        <v>138</v>
      </c>
      <c r="CG12" s="106">
        <f>(IF(((SUM(AM13:AM15))=0)," ",(AVERAGE(AM13:AM15))))</f>
        <v>13.666666666666666</v>
      </c>
      <c r="CH12" s="106">
        <f>(IF(((SUM(AN13:AN15))=0)," ",(AVERAGE(AN13:AN15))))</f>
        <v>424.01672</v>
      </c>
      <c r="CI12" s="106"/>
      <c r="CJ12" s="106">
        <f>(IF(((SUM(AU13:AU15))=0)," ",(AVERAGE(AU13:AU15))))</f>
        <v>18.333333333333332</v>
      </c>
      <c r="CK12" s="106">
        <f>(IF(((SUM(AV13:AV15))=0)," ",(AVERAGE(AV13:AV15))))</f>
        <v>572.9413199999999</v>
      </c>
      <c r="CL12" s="240"/>
      <c r="CM12" s="152">
        <f>(AVERAGE(AE12:AE16))</f>
        <v>0.004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5">
        <v>1724585</v>
      </c>
      <c r="D13" s="138">
        <f t="shared" si="0"/>
        <v>3.898</v>
      </c>
      <c r="E13" s="140">
        <v>4.8</v>
      </c>
      <c r="F13" s="141">
        <v>1.4</v>
      </c>
      <c r="G13" s="81" t="str">
        <f aca="true" t="shared" si="8" ref="G13:G42">(IF(C13=0," ","0.00"))</f>
        <v>0.00</v>
      </c>
      <c r="H13" s="85">
        <v>3500</v>
      </c>
      <c r="I13" s="86">
        <v>1000</v>
      </c>
      <c r="K13" s="87" t="s">
        <v>210</v>
      </c>
      <c r="L13" s="85">
        <v>37</v>
      </c>
      <c r="M13" s="88">
        <v>0.03</v>
      </c>
      <c r="O13" s="107"/>
      <c r="Q13" s="108"/>
      <c r="R13" s="153"/>
      <c r="S13" s="109"/>
      <c r="U13" s="93">
        <v>7</v>
      </c>
      <c r="V13" s="94">
        <v>7</v>
      </c>
      <c r="W13" s="95">
        <v>6.5</v>
      </c>
      <c r="Y13" s="90">
        <v>10</v>
      </c>
      <c r="Z13" s="96">
        <v>9</v>
      </c>
      <c r="AA13" s="92">
        <v>10</v>
      </c>
      <c r="AC13" s="93">
        <v>3.5</v>
      </c>
      <c r="AD13" s="91">
        <v>0.1</v>
      </c>
      <c r="AE13" s="97">
        <v>0</v>
      </c>
      <c r="AG13" s="45">
        <f t="shared" si="1"/>
        <v>2</v>
      </c>
      <c r="AI13" s="98">
        <v>147</v>
      </c>
      <c r="AJ13" s="55">
        <f t="shared" si="2"/>
        <v>4778.87004</v>
      </c>
      <c r="AK13" s="98"/>
      <c r="AL13" s="55">
        <f t="shared" si="3"/>
      </c>
      <c r="AM13" s="98">
        <v>14</v>
      </c>
      <c r="AN13" s="55">
        <f t="shared" si="4"/>
        <v>455.13048000000003</v>
      </c>
      <c r="AO13" s="110">
        <v>13</v>
      </c>
      <c r="AQ13" s="100">
        <v>122</v>
      </c>
      <c r="AR13" s="55">
        <f t="shared" si="5"/>
        <v>3966.13704</v>
      </c>
      <c r="AS13" s="98"/>
      <c r="AT13" s="55">
        <f t="shared" si="6"/>
      </c>
      <c r="AU13" s="98">
        <v>23</v>
      </c>
      <c r="AV13" s="55">
        <f t="shared" si="7"/>
        <v>747.7143599999999</v>
      </c>
      <c r="AX13" s="100"/>
      <c r="AY13" s="101"/>
      <c r="AZ13" s="102"/>
      <c r="BA13" s="98"/>
      <c r="BB13" s="102"/>
      <c r="BC13" s="98"/>
      <c r="BD13" s="98"/>
      <c r="BE13" s="103"/>
      <c r="BG13" s="100"/>
      <c r="BH13" s="84"/>
      <c r="BI13" s="104"/>
      <c r="BK13" s="17"/>
      <c r="BL13" s="19"/>
      <c r="BM13" s="26" t="s">
        <v>86</v>
      </c>
      <c r="BN13" s="20"/>
      <c r="BO13" s="154" t="s">
        <v>131</v>
      </c>
      <c r="BP13" s="26"/>
      <c r="BQ13" s="237">
        <v>963</v>
      </c>
      <c r="BR13" s="237">
        <v>1605</v>
      </c>
      <c r="BS13" s="156" t="s">
        <v>126</v>
      </c>
      <c r="BT13" s="105"/>
      <c r="BU13" s="237">
        <v>30</v>
      </c>
      <c r="BV13" s="157">
        <v>45</v>
      </c>
      <c r="BW13" s="237">
        <v>50</v>
      </c>
      <c r="BX13" s="156" t="s">
        <v>128</v>
      </c>
      <c r="BY13" s="105"/>
      <c r="BZ13" s="238" t="s">
        <v>150</v>
      </c>
      <c r="CA13" s="158" t="s">
        <v>47</v>
      </c>
      <c r="CB13" s="156">
        <v>24</v>
      </c>
      <c r="CC13" s="137"/>
      <c r="CE13" s="24"/>
      <c r="CF13" s="20"/>
      <c r="CG13" s="106"/>
      <c r="CH13" s="106"/>
      <c r="CI13" s="106"/>
      <c r="CJ13" s="106"/>
      <c r="CK13" s="106"/>
      <c r="CL13" s="240"/>
      <c r="CM13" s="152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5">
        <v>1728265</v>
      </c>
      <c r="D14" s="138">
        <f t="shared" si="0"/>
        <v>3.68</v>
      </c>
      <c r="E14" s="140">
        <v>4.6</v>
      </c>
      <c r="F14" s="141">
        <v>1.8</v>
      </c>
      <c r="G14" s="81" t="str">
        <f t="shared" si="8"/>
        <v>0.00</v>
      </c>
      <c r="H14" s="85">
        <v>2000</v>
      </c>
      <c r="I14" s="86">
        <v>5000</v>
      </c>
      <c r="K14" s="87" t="s">
        <v>208</v>
      </c>
      <c r="L14" s="85">
        <v>36</v>
      </c>
      <c r="M14" s="88">
        <v>0.4</v>
      </c>
      <c r="O14" s="107"/>
      <c r="Q14" s="108" t="s">
        <v>10</v>
      </c>
      <c r="R14" s="153" t="s">
        <v>10</v>
      </c>
      <c r="S14" s="109" t="s">
        <v>10</v>
      </c>
      <c r="U14" s="93">
        <v>6.9</v>
      </c>
      <c r="V14" s="94">
        <v>6.3</v>
      </c>
      <c r="W14" s="95">
        <v>6.2</v>
      </c>
      <c r="Y14" s="90">
        <v>10</v>
      </c>
      <c r="Z14" s="96">
        <v>10</v>
      </c>
      <c r="AA14" s="92">
        <v>11</v>
      </c>
      <c r="AC14" s="93">
        <v>4.5</v>
      </c>
      <c r="AD14" s="91">
        <v>1</v>
      </c>
      <c r="AE14" s="97">
        <v>0.01</v>
      </c>
      <c r="AG14" s="45">
        <f t="shared" si="1"/>
        <v>3</v>
      </c>
      <c r="AI14" s="98">
        <v>155</v>
      </c>
      <c r="AJ14" s="55">
        <f t="shared" si="2"/>
        <v>4757.1359999999995</v>
      </c>
      <c r="AK14" s="98"/>
      <c r="AL14" s="55">
        <f t="shared" si="3"/>
      </c>
      <c r="AM14" s="98">
        <v>11</v>
      </c>
      <c r="AN14" s="55">
        <f t="shared" si="4"/>
        <v>337.6032</v>
      </c>
      <c r="AO14" s="110">
        <v>8</v>
      </c>
      <c r="AQ14" s="100">
        <v>154</v>
      </c>
      <c r="AR14" s="55">
        <f t="shared" si="5"/>
        <v>4726.4448</v>
      </c>
      <c r="AS14" s="98"/>
      <c r="AT14" s="55">
        <f t="shared" si="6"/>
      </c>
      <c r="AU14" s="98">
        <v>17</v>
      </c>
      <c r="AV14" s="55">
        <f t="shared" si="7"/>
        <v>521.7504</v>
      </c>
      <c r="AX14" s="100">
        <v>43732</v>
      </c>
      <c r="AY14" s="101">
        <v>5</v>
      </c>
      <c r="AZ14" s="102">
        <v>3</v>
      </c>
      <c r="BA14" s="98">
        <v>24.8</v>
      </c>
      <c r="BB14" s="102">
        <v>30</v>
      </c>
      <c r="BC14" s="98">
        <v>24</v>
      </c>
      <c r="BD14" s="98"/>
      <c r="BE14" s="103"/>
      <c r="BG14" s="100">
        <v>24</v>
      </c>
      <c r="BH14" s="84" t="s">
        <v>212</v>
      </c>
      <c r="BI14" s="104" t="s">
        <v>211</v>
      </c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(IF(((SUM(AM20:AM22))=0)," ",(AVERAGE(AM20:AM22))))</f>
        <v>15.666666666666666</v>
      </c>
      <c r="CH14" s="106">
        <f>(IF(((SUM(AN20:AN22))=0)," ",(AVERAGE(AN20:AN22))))</f>
        <v>417.92018</v>
      </c>
      <c r="CI14" s="106"/>
      <c r="CJ14" s="106">
        <f>(IF(((SUM(AU20:AU22))=0)," ",(AVERAGE(AU20:AU22))))</f>
        <v>23</v>
      </c>
      <c r="CK14" s="106">
        <f>(IF(((SUM(AV20:AV22))=0)," ",(AVERAGE(AV20:AV22))))</f>
        <v>613.52654</v>
      </c>
      <c r="CL14" s="240"/>
      <c r="CM14" s="152">
        <f>(AVERAGE(AE17:AE23))</f>
        <v>0.0014285714285714286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5">
        <v>1731857</v>
      </c>
      <c r="D15" s="138">
        <f t="shared" si="0"/>
        <v>3.592</v>
      </c>
      <c r="E15" s="140">
        <v>5.6</v>
      </c>
      <c r="F15" s="141">
        <v>1.7</v>
      </c>
      <c r="G15" s="81" t="str">
        <f t="shared" si="8"/>
        <v>0.00</v>
      </c>
      <c r="H15" s="85">
        <v>2700</v>
      </c>
      <c r="I15" s="86">
        <v>5750</v>
      </c>
      <c r="K15" s="87" t="s">
        <v>208</v>
      </c>
      <c r="L15" s="85">
        <v>29</v>
      </c>
      <c r="M15" s="88">
        <v>0</v>
      </c>
      <c r="O15" s="107"/>
      <c r="Q15" s="108"/>
      <c r="R15" s="153"/>
      <c r="S15" s="109"/>
      <c r="U15" s="93">
        <v>6.9</v>
      </c>
      <c r="V15" s="94">
        <v>6.9</v>
      </c>
      <c r="W15" s="95">
        <v>6.5</v>
      </c>
      <c r="Y15" s="90">
        <v>10</v>
      </c>
      <c r="Z15" s="96">
        <v>9</v>
      </c>
      <c r="AA15" s="92">
        <v>11</v>
      </c>
      <c r="AC15" s="93">
        <v>3</v>
      </c>
      <c r="AD15" s="91">
        <v>0.2</v>
      </c>
      <c r="AE15" s="97">
        <v>0.01</v>
      </c>
      <c r="AG15" s="45">
        <f t="shared" si="1"/>
        <v>4</v>
      </c>
      <c r="AI15" s="98">
        <v>189</v>
      </c>
      <c r="AJ15" s="55">
        <f t="shared" si="2"/>
        <v>5661.925920000001</v>
      </c>
      <c r="AK15" s="98">
        <v>136</v>
      </c>
      <c r="AL15" s="55">
        <f t="shared" si="3"/>
        <v>4074.19008</v>
      </c>
      <c r="AM15" s="98">
        <v>16</v>
      </c>
      <c r="AN15" s="55">
        <f t="shared" si="4"/>
        <v>479.31648</v>
      </c>
      <c r="AO15" s="110">
        <v>12</v>
      </c>
      <c r="AQ15" s="100">
        <v>187</v>
      </c>
      <c r="AR15" s="55">
        <f t="shared" si="5"/>
        <v>5602.01136</v>
      </c>
      <c r="AS15" s="98">
        <v>67</v>
      </c>
      <c r="AT15" s="55">
        <f t="shared" si="6"/>
        <v>2007.13776</v>
      </c>
      <c r="AU15" s="98">
        <v>15</v>
      </c>
      <c r="AV15" s="55">
        <f t="shared" si="7"/>
        <v>449.3592</v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106"/>
      <c r="CH15" s="106"/>
      <c r="CI15" s="106"/>
      <c r="CJ15" s="106"/>
      <c r="CK15" s="106"/>
      <c r="CL15" s="240"/>
      <c r="CM15" s="152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3">
        <v>1735922</v>
      </c>
      <c r="D16" s="139">
        <f t="shared" si="0"/>
        <v>4.065</v>
      </c>
      <c r="E16" s="142">
        <v>5.6</v>
      </c>
      <c r="F16" s="143">
        <v>1.6</v>
      </c>
      <c r="G16" s="184" t="str">
        <f t="shared" si="8"/>
        <v>0.00</v>
      </c>
      <c r="H16" s="113">
        <v>0</v>
      </c>
      <c r="I16" s="114">
        <v>750</v>
      </c>
      <c r="K16" s="115" t="s">
        <v>208</v>
      </c>
      <c r="L16" s="113">
        <v>26</v>
      </c>
      <c r="M16" s="116">
        <v>0</v>
      </c>
      <c r="O16" s="117"/>
      <c r="Q16" s="108" t="s">
        <v>4</v>
      </c>
      <c r="R16" s="153" t="s">
        <v>4</v>
      </c>
      <c r="S16" s="109" t="s">
        <v>4</v>
      </c>
      <c r="U16" s="118">
        <v>6.9</v>
      </c>
      <c r="V16" s="119">
        <v>6.9</v>
      </c>
      <c r="W16" s="120">
        <v>6.6</v>
      </c>
      <c r="Y16" s="121">
        <v>9</v>
      </c>
      <c r="Z16" s="122">
        <v>8</v>
      </c>
      <c r="AA16" s="123">
        <v>7</v>
      </c>
      <c r="AC16" s="118">
        <v>3</v>
      </c>
      <c r="AD16" s="124">
        <v>0.01</v>
      </c>
      <c r="AE16" s="125">
        <v>0</v>
      </c>
      <c r="AG16" s="45">
        <f t="shared" si="1"/>
        <v>5</v>
      </c>
      <c r="AI16" s="126"/>
      <c r="AJ16" s="65">
        <f t="shared" si="2"/>
      </c>
      <c r="AK16" s="126"/>
      <c r="AL16" s="65">
        <f t="shared" si="3"/>
      </c>
      <c r="AM16" s="126"/>
      <c r="AN16" s="65">
        <f t="shared" si="4"/>
      </c>
      <c r="AO16" s="127"/>
      <c r="AQ16" s="128"/>
      <c r="AR16" s="65">
        <f t="shared" si="5"/>
      </c>
      <c r="AS16" s="126"/>
      <c r="AT16" s="65">
        <f t="shared" si="6"/>
      </c>
      <c r="AU16" s="126"/>
      <c r="AV16" s="65">
        <f t="shared" si="7"/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(IF(((SUM(AM28:AM30))=0)," ",(AVERAGE(AM28:AM30))))</f>
        <v>18.666666666666668</v>
      </c>
      <c r="CH16" s="106">
        <f>(IF(((SUM(AN28:AN30))=0)," ",(AVERAGE(AN28:AN30))))</f>
        <v>474.59325999999993</v>
      </c>
      <c r="CI16" s="106"/>
      <c r="CJ16" s="106">
        <f>(IF(((SUM(AU28:AU30))=0)," ",(AVERAGE(AU28:AU30))))</f>
        <v>26.333333333333332</v>
      </c>
      <c r="CK16" s="106">
        <f>(IF(((SUM(AV28:AV30))=0)," ",(AVERAGE(AV28:AV30))))</f>
        <v>669.8743600000001</v>
      </c>
      <c r="CL16" s="240"/>
      <c r="CM16" s="152">
        <f>(AVERAGE(AE24:AE30))</f>
        <v>0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5">
        <v>1739883</v>
      </c>
      <c r="D17" s="138">
        <f t="shared" si="0"/>
        <v>3.961</v>
      </c>
      <c r="E17" s="140">
        <v>5.8</v>
      </c>
      <c r="F17" s="141">
        <v>1.6</v>
      </c>
      <c r="G17" s="81" t="str">
        <f t="shared" si="8"/>
        <v>0.00</v>
      </c>
      <c r="H17" s="85">
        <v>0</v>
      </c>
      <c r="I17" s="86">
        <v>0</v>
      </c>
      <c r="K17" s="87" t="s">
        <v>210</v>
      </c>
      <c r="L17" s="85">
        <v>32</v>
      </c>
      <c r="M17" s="88">
        <v>0.35</v>
      </c>
      <c r="O17" s="107"/>
      <c r="Q17" s="108"/>
      <c r="R17" s="153"/>
      <c r="S17" s="109"/>
      <c r="U17" s="93">
        <v>6.9</v>
      </c>
      <c r="V17" s="94">
        <v>6.9</v>
      </c>
      <c r="W17" s="95">
        <v>6.7</v>
      </c>
      <c r="Y17" s="90">
        <v>10</v>
      </c>
      <c r="Z17" s="96">
        <v>9</v>
      </c>
      <c r="AA17" s="92">
        <v>9</v>
      </c>
      <c r="AC17" s="93">
        <v>3</v>
      </c>
      <c r="AD17" s="91">
        <v>0.2</v>
      </c>
      <c r="AE17" s="97">
        <v>0</v>
      </c>
      <c r="AG17" s="45">
        <f t="shared" si="1"/>
        <v>6</v>
      </c>
      <c r="AI17" s="98"/>
      <c r="AJ17" s="55">
        <f t="shared" si="2"/>
      </c>
      <c r="AK17" s="98"/>
      <c r="AL17" s="55">
        <f t="shared" si="3"/>
      </c>
      <c r="AM17" s="98"/>
      <c r="AN17" s="55">
        <f t="shared" si="4"/>
      </c>
      <c r="AO17" s="110"/>
      <c r="AQ17" s="100"/>
      <c r="AR17" s="55">
        <f t="shared" si="5"/>
      </c>
      <c r="AS17" s="98"/>
      <c r="AT17" s="55">
        <f t="shared" si="6"/>
      </c>
      <c r="AU17" s="98"/>
      <c r="AV17" s="55">
        <f t="shared" si="7"/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39" t="s">
        <v>150</v>
      </c>
      <c r="BR17" s="239" t="s">
        <v>150</v>
      </c>
      <c r="BS17" s="239" t="s">
        <v>150</v>
      </c>
      <c r="BT17" s="105"/>
      <c r="BU17" s="146">
        <f>MIN(W12:W42)</f>
        <v>5.8</v>
      </c>
      <c r="BV17" s="239" t="s">
        <v>150</v>
      </c>
      <c r="BW17" s="146">
        <f>MAX(W12:W42)</f>
        <v>6.8</v>
      </c>
      <c r="BX17" s="105" t="s">
        <v>43</v>
      </c>
      <c r="BY17" s="105"/>
      <c r="BZ17" s="105">
        <v>1</v>
      </c>
      <c r="CA17" s="145" t="s">
        <v>48</v>
      </c>
      <c r="CB17" s="105" t="s">
        <v>23</v>
      </c>
      <c r="CC17" s="137"/>
      <c r="CE17" s="69"/>
      <c r="CF17" s="20"/>
      <c r="CG17" s="106"/>
      <c r="CH17" s="106"/>
      <c r="CI17" s="106"/>
      <c r="CJ17" s="106"/>
      <c r="CK17" s="106"/>
      <c r="CL17" s="241"/>
      <c r="CM17" s="152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5">
        <v>1743662</v>
      </c>
      <c r="D18" s="138">
        <f t="shared" si="0"/>
        <v>3.779</v>
      </c>
      <c r="E18" s="140">
        <v>4.4</v>
      </c>
      <c r="F18" s="141">
        <v>1.6</v>
      </c>
      <c r="G18" s="81" t="str">
        <f t="shared" si="8"/>
        <v>0.00</v>
      </c>
      <c r="H18" s="85">
        <v>7500</v>
      </c>
      <c r="I18" s="86">
        <v>5250</v>
      </c>
      <c r="K18" s="87" t="s">
        <v>210</v>
      </c>
      <c r="L18" s="85">
        <v>32</v>
      </c>
      <c r="M18" s="88">
        <v>0.01</v>
      </c>
      <c r="O18" s="107"/>
      <c r="Q18" s="108" t="s">
        <v>4</v>
      </c>
      <c r="R18" s="153" t="s">
        <v>4</v>
      </c>
      <c r="S18" s="109" t="s">
        <v>4</v>
      </c>
      <c r="U18" s="93">
        <v>7.2</v>
      </c>
      <c r="V18" s="94">
        <v>6.7</v>
      </c>
      <c r="W18" s="95">
        <v>6.7</v>
      </c>
      <c r="Y18" s="90">
        <v>11</v>
      </c>
      <c r="Z18" s="96">
        <v>9</v>
      </c>
      <c r="AA18" s="92">
        <v>10</v>
      </c>
      <c r="AC18" s="93">
        <v>9</v>
      </c>
      <c r="AD18" s="91">
        <v>1</v>
      </c>
      <c r="AE18" s="97">
        <v>0.01</v>
      </c>
      <c r="AG18" s="45">
        <f t="shared" si="1"/>
        <v>7</v>
      </c>
      <c r="AI18" s="98"/>
      <c r="AJ18" s="55">
        <f t="shared" si="2"/>
      </c>
      <c r="AK18" s="98"/>
      <c r="AL18" s="55">
        <f t="shared" si="3"/>
      </c>
      <c r="AM18" s="98"/>
      <c r="AN18" s="55">
        <f t="shared" si="4"/>
      </c>
      <c r="AO18" s="110"/>
      <c r="AQ18" s="100"/>
      <c r="AR18" s="55">
        <f t="shared" si="5"/>
      </c>
      <c r="AS18" s="98"/>
      <c r="AT18" s="55">
        <f t="shared" si="6"/>
      </c>
      <c r="AU18" s="98"/>
      <c r="AV18" s="55">
        <f t="shared" si="7"/>
      </c>
      <c r="AX18" s="100">
        <v>43402</v>
      </c>
      <c r="AY18" s="101">
        <v>5</v>
      </c>
      <c r="AZ18" s="102">
        <v>3</v>
      </c>
      <c r="BA18" s="98">
        <v>31</v>
      </c>
      <c r="BB18" s="102">
        <v>31</v>
      </c>
      <c r="BC18" s="98">
        <v>24</v>
      </c>
      <c r="BD18" s="98"/>
      <c r="BE18" s="103"/>
      <c r="BG18" s="100">
        <v>24</v>
      </c>
      <c r="BH18" s="84" t="s">
        <v>212</v>
      </c>
      <c r="BI18" s="104" t="s">
        <v>211</v>
      </c>
      <c r="BK18" s="17"/>
      <c r="BL18" s="19"/>
      <c r="BM18" s="26" t="s">
        <v>86</v>
      </c>
      <c r="BN18" s="20"/>
      <c r="BO18" s="154" t="s">
        <v>131</v>
      </c>
      <c r="BP18" s="26"/>
      <c r="BQ18" s="238" t="s">
        <v>150</v>
      </c>
      <c r="BR18" s="238" t="s">
        <v>150</v>
      </c>
      <c r="BS18" s="238" t="s">
        <v>150</v>
      </c>
      <c r="BT18" s="105"/>
      <c r="BU18" s="159">
        <v>6</v>
      </c>
      <c r="BV18" s="238" t="s">
        <v>150</v>
      </c>
      <c r="BW18" s="156">
        <v>8.5</v>
      </c>
      <c r="BX18" s="156" t="s">
        <v>43</v>
      </c>
      <c r="BY18" s="105"/>
      <c r="BZ18" s="238" t="s">
        <v>150</v>
      </c>
      <c r="CA18" s="158" t="s">
        <v>48</v>
      </c>
      <c r="CB18" s="156" t="s">
        <v>23</v>
      </c>
      <c r="CC18" s="137"/>
      <c r="CE18" s="69"/>
      <c r="CF18" s="20" t="s">
        <v>141</v>
      </c>
      <c r="CG18" s="106">
        <f>(IF(((SUM(AM34:AM36))=0)," ",(AVERAGE(AM34:AM36))))</f>
        <v>17.666666666666668</v>
      </c>
      <c r="CH18" s="106">
        <f>(IF(((SUM(AN34:AN36))=0)," ",(AVERAGE(AN34:AN36))))</f>
        <v>413.3443</v>
      </c>
      <c r="CI18" s="106"/>
      <c r="CJ18" s="106">
        <f>(IF(((SUM(AU34:AU36))=0)," ",(AVERAGE(AU34:AU36))))</f>
        <v>21</v>
      </c>
      <c r="CK18" s="106">
        <f>(IF(((SUM(AV34:AV36))=0)," ",(AVERAGE(AV34:AV36))))</f>
        <v>491.4901</v>
      </c>
      <c r="CL18" s="241"/>
      <c r="CM18" s="152">
        <f>(AVERAGE(AE31:AE37))</f>
        <v>0.0014285714285714286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5">
        <v>1746838</v>
      </c>
      <c r="D19" s="138">
        <f t="shared" si="0"/>
        <v>3.176</v>
      </c>
      <c r="E19" s="140">
        <v>5</v>
      </c>
      <c r="F19" s="141">
        <v>1</v>
      </c>
      <c r="G19" s="81" t="str">
        <f t="shared" si="8"/>
        <v>0.00</v>
      </c>
      <c r="H19" s="85">
        <v>1200</v>
      </c>
      <c r="I19" s="86">
        <v>4500</v>
      </c>
      <c r="K19" s="87" t="s">
        <v>208</v>
      </c>
      <c r="L19" s="85">
        <v>35</v>
      </c>
      <c r="M19" s="88">
        <v>0</v>
      </c>
      <c r="O19" s="107"/>
      <c r="Q19" s="108"/>
      <c r="R19" s="153"/>
      <c r="S19" s="109"/>
      <c r="U19" s="93">
        <v>7.1</v>
      </c>
      <c r="V19" s="94">
        <v>7</v>
      </c>
      <c r="W19" s="95">
        <v>6.7</v>
      </c>
      <c r="Y19" s="90">
        <v>10</v>
      </c>
      <c r="Z19" s="96">
        <v>9</v>
      </c>
      <c r="AA19" s="92">
        <v>10</v>
      </c>
      <c r="AC19" s="93">
        <v>5</v>
      </c>
      <c r="AD19" s="91">
        <v>0.01</v>
      </c>
      <c r="AE19" s="97">
        <v>0</v>
      </c>
      <c r="AG19" s="45">
        <f t="shared" si="1"/>
        <v>8</v>
      </c>
      <c r="AI19" s="98"/>
      <c r="AJ19" s="55">
        <f t="shared" si="2"/>
      </c>
      <c r="AK19" s="98"/>
      <c r="AL19" s="55">
        <f t="shared" si="3"/>
      </c>
      <c r="AM19" s="98"/>
      <c r="AN19" s="55">
        <f t="shared" si="4"/>
      </c>
      <c r="AO19" s="110"/>
      <c r="AQ19" s="100"/>
      <c r="AR19" s="55">
        <f t="shared" si="5"/>
      </c>
      <c r="AS19" s="98"/>
      <c r="AT19" s="55">
        <f t="shared" si="6"/>
      </c>
      <c r="AU19" s="98"/>
      <c r="AV19" s="55">
        <f t="shared" si="7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6"/>
      <c r="CH19" s="106"/>
      <c r="CI19" s="106"/>
      <c r="CJ19" s="106"/>
      <c r="CK19" s="106"/>
      <c r="CL19" s="241"/>
      <c r="CM19" s="152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5">
        <v>1750101</v>
      </c>
      <c r="D20" s="138">
        <f t="shared" si="0"/>
        <v>3.263</v>
      </c>
      <c r="E20" s="140">
        <v>4.4</v>
      </c>
      <c r="F20" s="141">
        <v>1</v>
      </c>
      <c r="G20" s="81" t="str">
        <f t="shared" si="8"/>
        <v>0.00</v>
      </c>
      <c r="H20" s="85">
        <v>1200</v>
      </c>
      <c r="I20" s="86">
        <v>7500</v>
      </c>
      <c r="K20" s="87" t="s">
        <v>208</v>
      </c>
      <c r="L20" s="85">
        <v>36</v>
      </c>
      <c r="M20" s="88">
        <v>0</v>
      </c>
      <c r="O20" s="107"/>
      <c r="Q20" s="108"/>
      <c r="R20" s="153"/>
      <c r="S20" s="109"/>
      <c r="U20" s="93">
        <v>6.9</v>
      </c>
      <c r="V20" s="94">
        <v>6.9</v>
      </c>
      <c r="W20" s="95">
        <v>6.3</v>
      </c>
      <c r="Y20" s="90">
        <v>11</v>
      </c>
      <c r="Z20" s="96">
        <v>10</v>
      </c>
      <c r="AA20" s="92">
        <v>10</v>
      </c>
      <c r="AC20" s="93">
        <v>4.5</v>
      </c>
      <c r="AD20" s="91">
        <v>0.01</v>
      </c>
      <c r="AE20" s="97">
        <v>0</v>
      </c>
      <c r="AG20" s="45">
        <f t="shared" si="1"/>
        <v>9</v>
      </c>
      <c r="AI20" s="98">
        <v>206</v>
      </c>
      <c r="AJ20" s="55">
        <f t="shared" si="2"/>
        <v>5605.9645199999995</v>
      </c>
      <c r="AK20" s="98"/>
      <c r="AL20" s="55">
        <f t="shared" si="3"/>
      </c>
      <c r="AM20" s="98">
        <v>14</v>
      </c>
      <c r="AN20" s="55">
        <f t="shared" si="4"/>
        <v>380.98788</v>
      </c>
      <c r="AO20" s="110">
        <v>9</v>
      </c>
      <c r="AQ20" s="100">
        <v>158</v>
      </c>
      <c r="AR20" s="55">
        <f t="shared" si="5"/>
        <v>4299.720359999999</v>
      </c>
      <c r="AS20" s="98"/>
      <c r="AT20" s="55">
        <f t="shared" si="6"/>
      </c>
      <c r="AU20" s="98">
        <v>20</v>
      </c>
      <c r="AV20" s="55">
        <f t="shared" si="7"/>
        <v>544.2683999999999</v>
      </c>
      <c r="AX20" s="100">
        <v>36149</v>
      </c>
      <c r="AY20" s="101">
        <v>5</v>
      </c>
      <c r="AZ20" s="102">
        <v>2.5</v>
      </c>
      <c r="BA20" s="98">
        <v>21.7</v>
      </c>
      <c r="BB20" s="102">
        <v>29</v>
      </c>
      <c r="BC20" s="98">
        <v>18</v>
      </c>
      <c r="BD20" s="98"/>
      <c r="BE20" s="103"/>
      <c r="BG20" s="100">
        <v>18</v>
      </c>
      <c r="BH20" s="84" t="s">
        <v>212</v>
      </c>
      <c r="BI20" s="104" t="s">
        <v>211</v>
      </c>
      <c r="CE20" s="69"/>
      <c r="CF20" s="20" t="s">
        <v>142</v>
      </c>
      <c r="CG20" s="106"/>
      <c r="CH20" s="106"/>
      <c r="CI20" s="106"/>
      <c r="CJ20" s="106"/>
      <c r="CK20" s="106"/>
      <c r="CL20" s="241"/>
      <c r="CM20" s="152">
        <f>AVERAGE(AE38:AE41)</f>
        <v>0</v>
      </c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3">
        <v>1753278</v>
      </c>
      <c r="D21" s="139">
        <f t="shared" si="0"/>
        <v>3.177</v>
      </c>
      <c r="E21" s="142">
        <v>4.4</v>
      </c>
      <c r="F21" s="143">
        <v>1</v>
      </c>
      <c r="G21" s="184" t="str">
        <f t="shared" si="8"/>
        <v>0.00</v>
      </c>
      <c r="H21" s="113">
        <v>1000</v>
      </c>
      <c r="I21" s="114">
        <v>4750</v>
      </c>
      <c r="K21" s="115" t="s">
        <v>210</v>
      </c>
      <c r="L21" s="113">
        <v>38</v>
      </c>
      <c r="M21" s="116">
        <v>0</v>
      </c>
      <c r="O21" s="117"/>
      <c r="Q21" s="108"/>
      <c r="R21" s="153"/>
      <c r="S21" s="109"/>
      <c r="U21" s="118">
        <v>7</v>
      </c>
      <c r="V21" s="119">
        <v>7</v>
      </c>
      <c r="W21" s="120">
        <v>6.3</v>
      </c>
      <c r="Y21" s="121">
        <v>11</v>
      </c>
      <c r="Z21" s="122">
        <v>11</v>
      </c>
      <c r="AA21" s="123">
        <v>11</v>
      </c>
      <c r="AC21" s="118">
        <v>5</v>
      </c>
      <c r="AD21" s="124">
        <v>0.1</v>
      </c>
      <c r="AE21" s="125">
        <v>0</v>
      </c>
      <c r="AG21" s="45">
        <f t="shared" si="1"/>
        <v>10</v>
      </c>
      <c r="AI21" s="126">
        <v>215</v>
      </c>
      <c r="AJ21" s="65">
        <f t="shared" si="2"/>
        <v>5696.6787</v>
      </c>
      <c r="AK21" s="126"/>
      <c r="AL21" s="65">
        <f t="shared" si="3"/>
      </c>
      <c r="AM21" s="126">
        <v>21</v>
      </c>
      <c r="AN21" s="65">
        <f t="shared" si="4"/>
        <v>556.41978</v>
      </c>
      <c r="AO21" s="127">
        <v>15</v>
      </c>
      <c r="AQ21" s="128">
        <v>204</v>
      </c>
      <c r="AR21" s="65">
        <f t="shared" si="5"/>
        <v>5405.22072</v>
      </c>
      <c r="AS21" s="126"/>
      <c r="AT21" s="65">
        <f t="shared" si="6"/>
      </c>
      <c r="AU21" s="126">
        <v>34</v>
      </c>
      <c r="AV21" s="65">
        <f t="shared" si="7"/>
        <v>900.87012</v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5">
        <v>1756439</v>
      </c>
      <c r="D22" s="138">
        <f t="shared" si="0"/>
        <v>3.161</v>
      </c>
      <c r="E22" s="140">
        <v>4.4</v>
      </c>
      <c r="F22" s="141">
        <v>1.2</v>
      </c>
      <c r="G22" s="81" t="str">
        <f t="shared" si="8"/>
        <v>0.00</v>
      </c>
      <c r="H22" s="85">
        <v>3400</v>
      </c>
      <c r="I22" s="86">
        <v>1500</v>
      </c>
      <c r="K22" s="87" t="s">
        <v>210</v>
      </c>
      <c r="L22" s="85">
        <v>39</v>
      </c>
      <c r="M22" s="88">
        <v>0.35</v>
      </c>
      <c r="O22" s="107"/>
      <c r="Q22" s="108" t="s">
        <v>4</v>
      </c>
      <c r="R22" s="153" t="s">
        <v>4</v>
      </c>
      <c r="S22" s="109" t="s">
        <v>4</v>
      </c>
      <c r="U22" s="93">
        <v>6.9</v>
      </c>
      <c r="V22" s="94">
        <v>6.9</v>
      </c>
      <c r="W22" s="95">
        <v>6.1</v>
      </c>
      <c r="Y22" s="90">
        <v>10</v>
      </c>
      <c r="Z22" s="96">
        <v>10</v>
      </c>
      <c r="AA22" s="92">
        <v>10</v>
      </c>
      <c r="AC22" s="93">
        <v>7</v>
      </c>
      <c r="AD22" s="91">
        <v>0.1</v>
      </c>
      <c r="AE22" s="97">
        <v>0</v>
      </c>
      <c r="AG22" s="45">
        <f t="shared" si="1"/>
        <v>11</v>
      </c>
      <c r="AI22" s="98">
        <v>356</v>
      </c>
      <c r="AJ22" s="55">
        <f t="shared" si="2"/>
        <v>9385.13544</v>
      </c>
      <c r="AK22" s="98">
        <v>106</v>
      </c>
      <c r="AL22" s="55">
        <f t="shared" si="3"/>
        <v>2794.45044</v>
      </c>
      <c r="AM22" s="98">
        <v>12</v>
      </c>
      <c r="AN22" s="55">
        <f t="shared" si="4"/>
        <v>316.35288</v>
      </c>
      <c r="AO22" s="110">
        <v>8</v>
      </c>
      <c r="AQ22" s="100">
        <v>154</v>
      </c>
      <c r="AR22" s="55">
        <f t="shared" si="5"/>
        <v>4059.8619599999997</v>
      </c>
      <c r="AS22" s="98">
        <v>57</v>
      </c>
      <c r="AT22" s="55">
        <f t="shared" si="6"/>
        <v>1502.67618</v>
      </c>
      <c r="AU22" s="98">
        <v>15</v>
      </c>
      <c r="AV22" s="55">
        <f t="shared" si="7"/>
        <v>395.4411</v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50">
        <f>(IF(((SUM(AV12:AV42))=0)," ",(AVERAGE(AV12:AV42))))</f>
        <v>579.9020123076923</v>
      </c>
      <c r="BR22" s="150">
        <f>MAX(AV12:AV42)</f>
        <v>900.87012</v>
      </c>
      <c r="BS22" s="105" t="s">
        <v>126</v>
      </c>
      <c r="BT22" s="105"/>
      <c r="BU22" s="150">
        <f>(IF(((SUM(AU12:AU42))=0)," ",(AVERAGE(AU12:AU42))))</f>
        <v>22</v>
      </c>
      <c r="BV22" s="144">
        <f>(CJ23)</f>
        <v>26.333333333333332</v>
      </c>
      <c r="BW22" s="150">
        <f>MAX(AU12:AU42)</f>
        <v>34</v>
      </c>
      <c r="BX22" s="105" t="s">
        <v>128</v>
      </c>
      <c r="BY22" s="105"/>
      <c r="BZ22" s="105">
        <v>0</v>
      </c>
      <c r="CA22" s="145" t="s">
        <v>47</v>
      </c>
      <c r="CB22" s="105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5">
        <v>1759648</v>
      </c>
      <c r="D23" s="138">
        <f t="shared" si="0"/>
        <v>3.209</v>
      </c>
      <c r="E23" s="140">
        <v>4.6</v>
      </c>
      <c r="F23" s="141">
        <v>1</v>
      </c>
      <c r="G23" s="81" t="str">
        <f t="shared" si="8"/>
        <v>0.00</v>
      </c>
      <c r="H23" s="85">
        <v>1400</v>
      </c>
      <c r="I23" s="86">
        <v>1000</v>
      </c>
      <c r="K23" s="87" t="s">
        <v>208</v>
      </c>
      <c r="L23" s="85">
        <v>50</v>
      </c>
      <c r="M23" s="88">
        <v>0.05</v>
      </c>
      <c r="O23" s="107"/>
      <c r="Q23" s="108"/>
      <c r="R23" s="153"/>
      <c r="S23" s="109"/>
      <c r="U23" s="93">
        <v>6.7</v>
      </c>
      <c r="V23" s="94">
        <v>6.8</v>
      </c>
      <c r="W23" s="95">
        <v>6</v>
      </c>
      <c r="Y23" s="90">
        <v>10</v>
      </c>
      <c r="Z23" s="96">
        <v>10</v>
      </c>
      <c r="AA23" s="92">
        <v>11</v>
      </c>
      <c r="AC23" s="93">
        <v>5</v>
      </c>
      <c r="AD23" s="91">
        <v>0.1</v>
      </c>
      <c r="AE23" s="97">
        <v>0</v>
      </c>
      <c r="AG23" s="45">
        <f t="shared" si="1"/>
        <v>12</v>
      </c>
      <c r="AI23" s="98"/>
      <c r="AJ23" s="55">
        <f t="shared" si="2"/>
      </c>
      <c r="AK23" s="98"/>
      <c r="AL23" s="55">
        <f t="shared" si="3"/>
      </c>
      <c r="AM23" s="98"/>
      <c r="AN23" s="55">
        <f t="shared" si="4"/>
      </c>
      <c r="AO23" s="110"/>
      <c r="AQ23" s="100"/>
      <c r="AR23" s="55">
        <f t="shared" si="5"/>
      </c>
      <c r="AS23" s="98"/>
      <c r="AT23" s="55">
        <f t="shared" si="6"/>
      </c>
      <c r="AU23" s="98"/>
      <c r="AV23" s="55">
        <f t="shared" si="7"/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37">
        <v>963</v>
      </c>
      <c r="BR23" s="237">
        <v>1605</v>
      </c>
      <c r="BS23" s="156" t="s">
        <v>126</v>
      </c>
      <c r="BT23" s="105"/>
      <c r="BU23" s="237">
        <v>30</v>
      </c>
      <c r="BV23" s="157">
        <v>45</v>
      </c>
      <c r="BW23" s="237">
        <v>50</v>
      </c>
      <c r="BX23" s="156" t="s">
        <v>128</v>
      </c>
      <c r="BY23" s="105"/>
      <c r="BZ23" s="238" t="s">
        <v>150</v>
      </c>
      <c r="CA23" s="158" t="s">
        <v>47</v>
      </c>
      <c r="CB23" s="156">
        <v>24</v>
      </c>
      <c r="CC23" s="137"/>
      <c r="CE23" s="69"/>
      <c r="CF23" s="72" t="s">
        <v>53</v>
      </c>
      <c r="CG23" s="150">
        <f>(IF(((SUM(CG12:CG20))=0)," ",(MAX(CG12:CG20))))</f>
        <v>18.666666666666668</v>
      </c>
      <c r="CH23" s="150">
        <f>(IF(((SUM(CH12:CH20))=0)," ",(MAX(CH12:CH20))))</f>
        <v>474.59325999999993</v>
      </c>
      <c r="CI23" s="186"/>
      <c r="CJ23" s="150">
        <f>(IF(((SUM(CJ12:CJ20))=0)," ",(MAX(CJ12:CJ20))))</f>
        <v>26.333333333333332</v>
      </c>
      <c r="CK23" s="150">
        <f>(IF(((SUM(CK12:CK20))=0)," ",(MAX(CK12:CK20))))</f>
        <v>669.8743600000001</v>
      </c>
      <c r="CL23" s="71"/>
      <c r="CM23" s="280">
        <f>(MAX(CM12:CM20))</f>
        <v>0.004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5">
        <v>1762800</v>
      </c>
      <c r="D24" s="138">
        <f t="shared" si="0"/>
        <v>3.152</v>
      </c>
      <c r="E24" s="140">
        <v>4.4</v>
      </c>
      <c r="F24" s="141">
        <v>1</v>
      </c>
      <c r="G24" s="81" t="str">
        <f t="shared" si="8"/>
        <v>0.00</v>
      </c>
      <c r="H24" s="85">
        <v>0</v>
      </c>
      <c r="I24" s="86">
        <v>0</v>
      </c>
      <c r="K24" s="87" t="s">
        <v>210</v>
      </c>
      <c r="L24" s="85">
        <v>46</v>
      </c>
      <c r="M24" s="88">
        <v>0</v>
      </c>
      <c r="O24" s="107"/>
      <c r="Q24" s="108" t="s">
        <v>10</v>
      </c>
      <c r="R24" s="153" t="s">
        <v>10</v>
      </c>
      <c r="S24" s="109" t="s">
        <v>10</v>
      </c>
      <c r="U24" s="93">
        <v>6.7</v>
      </c>
      <c r="V24" s="94">
        <v>6.8</v>
      </c>
      <c r="W24" s="95">
        <v>6</v>
      </c>
      <c r="Y24" s="90">
        <v>10</v>
      </c>
      <c r="Z24" s="96">
        <v>10</v>
      </c>
      <c r="AA24" s="92">
        <v>11</v>
      </c>
      <c r="AC24" s="93">
        <v>3</v>
      </c>
      <c r="AD24" s="91">
        <v>0.01</v>
      </c>
      <c r="AE24" s="97">
        <v>0</v>
      </c>
      <c r="AG24" s="45">
        <f t="shared" si="1"/>
        <v>13</v>
      </c>
      <c r="AI24" s="98"/>
      <c r="AJ24" s="55">
        <f t="shared" si="2"/>
      </c>
      <c r="AK24" s="98"/>
      <c r="AL24" s="55">
        <f t="shared" si="3"/>
      </c>
      <c r="AM24" s="98"/>
      <c r="AN24" s="55">
        <f t="shared" si="4"/>
      </c>
      <c r="AO24" s="110"/>
      <c r="AQ24" s="100"/>
      <c r="AR24" s="55">
        <f t="shared" si="5"/>
      </c>
      <c r="AS24" s="98"/>
      <c r="AT24" s="55">
        <f t="shared" si="6"/>
      </c>
      <c r="AU24" s="98"/>
      <c r="AV24" s="55">
        <f t="shared" si="7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5">
        <v>1765883</v>
      </c>
      <c r="D25" s="138">
        <f t="shared" si="0"/>
        <v>3.083</v>
      </c>
      <c r="E25" s="140">
        <v>4.2</v>
      </c>
      <c r="F25" s="141">
        <v>0.8</v>
      </c>
      <c r="G25" s="81" t="str">
        <f t="shared" si="8"/>
        <v>0.00</v>
      </c>
      <c r="H25" s="85">
        <v>200</v>
      </c>
      <c r="I25" s="86">
        <v>8250</v>
      </c>
      <c r="K25" s="87" t="s">
        <v>210</v>
      </c>
      <c r="L25" s="85">
        <v>40</v>
      </c>
      <c r="M25" s="88">
        <v>0</v>
      </c>
      <c r="O25" s="107"/>
      <c r="Q25" s="108"/>
      <c r="R25" s="153"/>
      <c r="S25" s="109"/>
      <c r="U25" s="93">
        <v>7.2</v>
      </c>
      <c r="V25" s="94">
        <v>6.6</v>
      </c>
      <c r="W25" s="95">
        <v>6.3</v>
      </c>
      <c r="Y25" s="90">
        <v>10</v>
      </c>
      <c r="Z25" s="96">
        <v>10</v>
      </c>
      <c r="AA25" s="92">
        <v>11</v>
      </c>
      <c r="AC25" s="93">
        <v>6.5</v>
      </c>
      <c r="AD25" s="91">
        <v>0.5</v>
      </c>
      <c r="AE25" s="97">
        <v>0</v>
      </c>
      <c r="AG25" s="45">
        <f t="shared" si="1"/>
        <v>14</v>
      </c>
      <c r="AI25" s="98"/>
      <c r="AJ25" s="55">
        <f t="shared" si="2"/>
      </c>
      <c r="AK25" s="98"/>
      <c r="AL25" s="55">
        <f t="shared" si="3"/>
      </c>
      <c r="AM25" s="98"/>
      <c r="AN25" s="55">
        <f t="shared" si="4"/>
      </c>
      <c r="AO25" s="110"/>
      <c r="AQ25" s="100"/>
      <c r="AR25" s="55">
        <f t="shared" si="5"/>
      </c>
      <c r="AS25" s="98"/>
      <c r="AT25" s="55">
        <f t="shared" si="6"/>
      </c>
      <c r="AU25" s="98"/>
      <c r="AV25" s="55">
        <f t="shared" si="7"/>
      </c>
      <c r="AX25" s="100">
        <v>56167</v>
      </c>
      <c r="AY25" s="101">
        <v>2</v>
      </c>
      <c r="AZ25" s="102">
        <v>3.5</v>
      </c>
      <c r="BA25" s="98">
        <v>34.1</v>
      </c>
      <c r="BB25" s="102">
        <v>29</v>
      </c>
      <c r="BC25" s="98">
        <v>24</v>
      </c>
      <c r="BD25" s="98"/>
      <c r="BE25" s="103"/>
      <c r="BG25" s="100">
        <v>24</v>
      </c>
      <c r="BH25" s="84" t="s">
        <v>212</v>
      </c>
      <c r="BI25" s="104" t="s">
        <v>211</v>
      </c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3">
        <v>1768972</v>
      </c>
      <c r="D26" s="139">
        <f t="shared" si="0"/>
        <v>3.089</v>
      </c>
      <c r="E26" s="142">
        <v>4.6</v>
      </c>
      <c r="F26" s="143">
        <v>1</v>
      </c>
      <c r="G26" s="184" t="str">
        <f t="shared" si="8"/>
        <v>0.00</v>
      </c>
      <c r="H26" s="113">
        <v>2200</v>
      </c>
      <c r="I26" s="114">
        <v>5000</v>
      </c>
      <c r="K26" s="115" t="s">
        <v>208</v>
      </c>
      <c r="L26" s="113">
        <v>55</v>
      </c>
      <c r="M26" s="116">
        <v>0</v>
      </c>
      <c r="O26" s="117"/>
      <c r="Q26" s="108" t="s">
        <v>11</v>
      </c>
      <c r="R26" s="153" t="s">
        <v>11</v>
      </c>
      <c r="S26" s="109" t="s">
        <v>11</v>
      </c>
      <c r="U26" s="118">
        <v>6.9</v>
      </c>
      <c r="V26" s="119">
        <v>6.9</v>
      </c>
      <c r="W26" s="120">
        <v>6.3</v>
      </c>
      <c r="Y26" s="121">
        <v>10</v>
      </c>
      <c r="Z26" s="122">
        <v>10</v>
      </c>
      <c r="AA26" s="123">
        <v>11</v>
      </c>
      <c r="AC26" s="118">
        <v>6.5</v>
      </c>
      <c r="AD26" s="124">
        <v>0.01</v>
      </c>
      <c r="AE26" s="125">
        <v>0</v>
      </c>
      <c r="AG26" s="45">
        <f t="shared" si="1"/>
        <v>15</v>
      </c>
      <c r="AI26" s="126"/>
      <c r="AJ26" s="65">
        <f t="shared" si="2"/>
      </c>
      <c r="AK26" s="126"/>
      <c r="AL26" s="65">
        <f t="shared" si="3"/>
      </c>
      <c r="AM26" s="126"/>
      <c r="AN26" s="65">
        <f t="shared" si="4"/>
      </c>
      <c r="AO26" s="127"/>
      <c r="AQ26" s="128"/>
      <c r="AR26" s="65">
        <f t="shared" si="5"/>
      </c>
      <c r="AS26" s="126"/>
      <c r="AT26" s="65">
        <f t="shared" si="6"/>
      </c>
      <c r="AU26" s="126"/>
      <c r="AV26" s="65">
        <f t="shared" si="7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5">
        <v>1772007</v>
      </c>
      <c r="D27" s="138">
        <f t="shared" si="0"/>
        <v>3.035</v>
      </c>
      <c r="E27" s="140">
        <v>4.4</v>
      </c>
      <c r="F27" s="141">
        <v>0.8</v>
      </c>
      <c r="G27" s="81" t="str">
        <f t="shared" si="8"/>
        <v>0.00</v>
      </c>
      <c r="H27" s="85">
        <v>3750</v>
      </c>
      <c r="I27" s="86">
        <v>3750</v>
      </c>
      <c r="K27" s="87" t="s">
        <v>210</v>
      </c>
      <c r="L27" s="85">
        <v>48</v>
      </c>
      <c r="M27" s="88">
        <v>0</v>
      </c>
      <c r="O27" s="107"/>
      <c r="Q27" s="108"/>
      <c r="R27" s="153"/>
      <c r="S27" s="109"/>
      <c r="U27" s="93">
        <v>7</v>
      </c>
      <c r="V27" s="94">
        <v>6.9</v>
      </c>
      <c r="W27" s="95">
        <v>5.8</v>
      </c>
      <c r="Y27" s="90">
        <v>11</v>
      </c>
      <c r="Z27" s="96">
        <v>10</v>
      </c>
      <c r="AA27" s="92">
        <v>11</v>
      </c>
      <c r="AC27" s="93">
        <v>5.5</v>
      </c>
      <c r="AD27" s="91">
        <v>0.01</v>
      </c>
      <c r="AE27" s="97">
        <v>0</v>
      </c>
      <c r="AG27" s="45">
        <f t="shared" si="1"/>
        <v>16</v>
      </c>
      <c r="AI27" s="98"/>
      <c r="AJ27" s="55">
        <f t="shared" si="2"/>
      </c>
      <c r="AK27" s="98"/>
      <c r="AL27" s="55">
        <f t="shared" si="3"/>
      </c>
      <c r="AM27" s="98"/>
      <c r="AN27" s="55">
        <f t="shared" si="4"/>
      </c>
      <c r="AO27" s="110"/>
      <c r="AQ27" s="100"/>
      <c r="AR27" s="55">
        <f t="shared" si="5"/>
      </c>
      <c r="AS27" s="98"/>
      <c r="AT27" s="55">
        <f t="shared" si="6"/>
      </c>
      <c r="AU27" s="98"/>
      <c r="AV27" s="55">
        <f t="shared" si="7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5">
        <v>1775026</v>
      </c>
      <c r="D28" s="138">
        <f t="shared" si="0"/>
        <v>3.019</v>
      </c>
      <c r="E28" s="140">
        <v>4.9</v>
      </c>
      <c r="F28" s="141">
        <v>0.8</v>
      </c>
      <c r="G28" s="81" t="str">
        <f t="shared" si="8"/>
        <v>0.00</v>
      </c>
      <c r="H28" s="85">
        <v>0</v>
      </c>
      <c r="I28" s="86">
        <v>8500</v>
      </c>
      <c r="K28" s="87" t="s">
        <v>210</v>
      </c>
      <c r="L28" s="85">
        <v>30</v>
      </c>
      <c r="M28" s="88">
        <v>0</v>
      </c>
      <c r="O28" s="107"/>
      <c r="Q28" s="108"/>
      <c r="R28" s="153"/>
      <c r="S28" s="109"/>
      <c r="U28" s="93">
        <v>7</v>
      </c>
      <c r="V28" s="94">
        <v>7</v>
      </c>
      <c r="W28" s="95">
        <v>6.4</v>
      </c>
      <c r="Y28" s="90">
        <v>11</v>
      </c>
      <c r="Z28" s="96">
        <v>10</v>
      </c>
      <c r="AA28" s="92">
        <v>10</v>
      </c>
      <c r="AC28" s="93">
        <v>3</v>
      </c>
      <c r="AD28" s="91">
        <v>0.1</v>
      </c>
      <c r="AE28" s="97">
        <v>0</v>
      </c>
      <c r="AG28" s="45">
        <f t="shared" si="1"/>
        <v>17</v>
      </c>
      <c r="AI28" s="98">
        <v>257</v>
      </c>
      <c r="AJ28" s="55">
        <f t="shared" si="2"/>
        <v>6470.86422</v>
      </c>
      <c r="AK28" s="98"/>
      <c r="AL28" s="55">
        <f t="shared" si="3"/>
      </c>
      <c r="AM28" s="98">
        <v>17</v>
      </c>
      <c r="AN28" s="55">
        <f t="shared" si="4"/>
        <v>428.03382</v>
      </c>
      <c r="AO28" s="110">
        <v>13</v>
      </c>
      <c r="AQ28" s="100">
        <v>218</v>
      </c>
      <c r="AR28" s="55">
        <f t="shared" si="5"/>
        <v>5488.904280000001</v>
      </c>
      <c r="AS28" s="98"/>
      <c r="AT28" s="55">
        <f t="shared" si="6"/>
      </c>
      <c r="AU28" s="98">
        <v>24</v>
      </c>
      <c r="AV28" s="55">
        <f t="shared" si="7"/>
        <v>604.28304</v>
      </c>
      <c r="AX28" s="100">
        <v>45916</v>
      </c>
      <c r="AY28" s="101">
        <v>4</v>
      </c>
      <c r="AZ28" s="102">
        <v>3</v>
      </c>
      <c r="BA28" s="98">
        <v>31</v>
      </c>
      <c r="BB28" s="102">
        <v>28</v>
      </c>
      <c r="BC28" s="98">
        <v>24</v>
      </c>
      <c r="BD28" s="98"/>
      <c r="BE28" s="103"/>
      <c r="BG28" s="100">
        <v>24</v>
      </c>
      <c r="BH28" s="84" t="s">
        <v>212</v>
      </c>
      <c r="BI28" s="104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39" t="s">
        <v>150</v>
      </c>
      <c r="BR28" s="239" t="s">
        <v>150</v>
      </c>
      <c r="BS28" s="239" t="s">
        <v>150</v>
      </c>
      <c r="BT28" s="239"/>
      <c r="BU28" s="239" t="s">
        <v>150</v>
      </c>
      <c r="BV28" s="147">
        <f>(CM23)</f>
        <v>0.004</v>
      </c>
      <c r="BW28" s="147">
        <f>MAX(AE12:AE42)</f>
        <v>0.01</v>
      </c>
      <c r="BX28" s="105" t="s">
        <v>128</v>
      </c>
      <c r="BY28" s="105"/>
      <c r="BZ28" s="105">
        <v>0</v>
      </c>
      <c r="CA28" s="145" t="s">
        <v>48</v>
      </c>
      <c r="CB28" s="105" t="s">
        <v>23</v>
      </c>
      <c r="CC28" s="137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5">
        <v>1777990</v>
      </c>
      <c r="D29" s="138">
        <f t="shared" si="0"/>
        <v>2.964</v>
      </c>
      <c r="E29" s="140">
        <v>5</v>
      </c>
      <c r="F29" s="141">
        <v>1.1</v>
      </c>
      <c r="G29" s="81" t="str">
        <f t="shared" si="8"/>
        <v>0.00</v>
      </c>
      <c r="H29" s="85">
        <v>0</v>
      </c>
      <c r="I29" s="86">
        <v>3250</v>
      </c>
      <c r="K29" s="87" t="s">
        <v>210</v>
      </c>
      <c r="L29" s="85">
        <v>34</v>
      </c>
      <c r="M29" s="88">
        <v>0</v>
      </c>
      <c r="O29" s="107"/>
      <c r="Q29" s="108"/>
      <c r="R29" s="153"/>
      <c r="S29" s="109"/>
      <c r="U29" s="93">
        <v>7</v>
      </c>
      <c r="V29" s="94">
        <v>7.1</v>
      </c>
      <c r="W29" s="95">
        <v>6.6</v>
      </c>
      <c r="Y29" s="90">
        <v>11</v>
      </c>
      <c r="Z29" s="96">
        <v>10</v>
      </c>
      <c r="AA29" s="92">
        <v>11</v>
      </c>
      <c r="AC29" s="93">
        <v>3.5</v>
      </c>
      <c r="AD29" s="91">
        <v>0.01</v>
      </c>
      <c r="AE29" s="97">
        <v>0</v>
      </c>
      <c r="AG29" s="45">
        <f t="shared" si="1"/>
        <v>18</v>
      </c>
      <c r="AI29" s="98">
        <v>229</v>
      </c>
      <c r="AJ29" s="55">
        <f t="shared" si="2"/>
        <v>5660.82504</v>
      </c>
      <c r="AK29" s="98">
        <v>159</v>
      </c>
      <c r="AL29" s="55">
        <f t="shared" si="3"/>
        <v>3930.44184</v>
      </c>
      <c r="AM29" s="98">
        <v>21</v>
      </c>
      <c r="AN29" s="55">
        <f t="shared" si="4"/>
        <v>519.11496</v>
      </c>
      <c r="AO29" s="110">
        <v>16</v>
      </c>
      <c r="AQ29" s="100">
        <v>207</v>
      </c>
      <c r="AR29" s="55">
        <f t="shared" si="5"/>
        <v>5116.99032</v>
      </c>
      <c r="AS29" s="98">
        <v>86</v>
      </c>
      <c r="AT29" s="55">
        <f t="shared" si="6"/>
        <v>2125.89936</v>
      </c>
      <c r="AU29" s="98">
        <v>29</v>
      </c>
      <c r="AV29" s="55">
        <f t="shared" si="7"/>
        <v>716.8730400000001</v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38" t="s">
        <v>150</v>
      </c>
      <c r="BR29" s="238" t="s">
        <v>150</v>
      </c>
      <c r="BS29" s="238" t="s">
        <v>150</v>
      </c>
      <c r="BT29" s="239"/>
      <c r="BU29" s="238" t="s">
        <v>150</v>
      </c>
      <c r="BV29" s="156" t="s">
        <v>146</v>
      </c>
      <c r="BW29" s="156">
        <v>0.3</v>
      </c>
      <c r="BX29" s="156" t="s">
        <v>128</v>
      </c>
      <c r="BY29" s="105"/>
      <c r="BZ29" s="238" t="s">
        <v>150</v>
      </c>
      <c r="CA29" s="158" t="s">
        <v>48</v>
      </c>
      <c r="CB29" s="156" t="s">
        <v>23</v>
      </c>
      <c r="CC29" s="137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5">
        <v>1781165</v>
      </c>
      <c r="D30" s="138">
        <f t="shared" si="0"/>
        <v>3.175</v>
      </c>
      <c r="E30" s="140">
        <v>4</v>
      </c>
      <c r="F30" s="141">
        <v>1</v>
      </c>
      <c r="G30" s="81" t="str">
        <f t="shared" si="8"/>
        <v>0.00</v>
      </c>
      <c r="H30" s="85">
        <v>1000</v>
      </c>
      <c r="I30" s="86">
        <v>3000</v>
      </c>
      <c r="K30" s="87" t="s">
        <v>208</v>
      </c>
      <c r="L30" s="85">
        <v>42</v>
      </c>
      <c r="M30" s="88">
        <v>0</v>
      </c>
      <c r="O30" s="107"/>
      <c r="Q30" s="108" t="s">
        <v>12</v>
      </c>
      <c r="R30" s="153" t="s">
        <v>12</v>
      </c>
      <c r="S30" s="109" t="s">
        <v>12</v>
      </c>
      <c r="U30" s="93">
        <v>6.8</v>
      </c>
      <c r="V30" s="94">
        <v>7</v>
      </c>
      <c r="W30" s="95">
        <v>6.4</v>
      </c>
      <c r="Y30" s="90">
        <v>11</v>
      </c>
      <c r="Z30" s="96">
        <v>10</v>
      </c>
      <c r="AA30" s="92">
        <v>11</v>
      </c>
      <c r="AC30" s="93">
        <v>3</v>
      </c>
      <c r="AD30" s="91">
        <v>0</v>
      </c>
      <c r="AE30" s="97">
        <v>0</v>
      </c>
      <c r="AG30" s="45">
        <f t="shared" si="1"/>
        <v>19</v>
      </c>
      <c r="AI30" s="98">
        <v>214</v>
      </c>
      <c r="AJ30" s="55">
        <f t="shared" si="2"/>
        <v>5666.612999999999</v>
      </c>
      <c r="AK30" s="98"/>
      <c r="AL30" s="55">
        <f t="shared" si="3"/>
      </c>
      <c r="AM30" s="98">
        <v>18</v>
      </c>
      <c r="AN30" s="55">
        <f t="shared" si="4"/>
        <v>476.631</v>
      </c>
      <c r="AO30" s="110">
        <v>13</v>
      </c>
      <c r="AQ30" s="100">
        <v>195</v>
      </c>
      <c r="AR30" s="55">
        <f t="shared" si="5"/>
        <v>5163.5025</v>
      </c>
      <c r="AS30" s="98"/>
      <c r="AT30" s="55">
        <f t="shared" si="6"/>
      </c>
      <c r="AU30" s="98">
        <v>26</v>
      </c>
      <c r="AV30" s="55">
        <f t="shared" si="7"/>
        <v>688.467</v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3">
        <v>1783950</v>
      </c>
      <c r="D31" s="139">
        <f t="shared" si="0"/>
        <v>2.785</v>
      </c>
      <c r="E31" s="142">
        <v>3.8</v>
      </c>
      <c r="F31" s="143">
        <v>1.1</v>
      </c>
      <c r="G31" s="184" t="str">
        <f t="shared" si="8"/>
        <v>0.00</v>
      </c>
      <c r="H31" s="113">
        <v>0</v>
      </c>
      <c r="I31" s="114">
        <v>0</v>
      </c>
      <c r="K31" s="115" t="s">
        <v>210</v>
      </c>
      <c r="L31" s="113">
        <v>45</v>
      </c>
      <c r="M31" s="116">
        <v>0</v>
      </c>
      <c r="O31" s="117"/>
      <c r="Q31" s="108"/>
      <c r="R31" s="153"/>
      <c r="S31" s="109"/>
      <c r="U31" s="118">
        <v>6.8</v>
      </c>
      <c r="V31" s="119">
        <v>6.9</v>
      </c>
      <c r="W31" s="120">
        <v>6.4</v>
      </c>
      <c r="Y31" s="121">
        <v>11</v>
      </c>
      <c r="Z31" s="122">
        <v>10</v>
      </c>
      <c r="AA31" s="123">
        <v>11</v>
      </c>
      <c r="AC31" s="118">
        <v>4.5</v>
      </c>
      <c r="AD31" s="124">
        <v>0</v>
      </c>
      <c r="AE31" s="125">
        <v>0</v>
      </c>
      <c r="AG31" s="45">
        <f t="shared" si="1"/>
        <v>20</v>
      </c>
      <c r="AI31" s="126"/>
      <c r="AJ31" s="65">
        <f t="shared" si="2"/>
      </c>
      <c r="AK31" s="126"/>
      <c r="AL31" s="65">
        <f t="shared" si="3"/>
      </c>
      <c r="AM31" s="126"/>
      <c r="AN31" s="65">
        <f t="shared" si="4"/>
      </c>
      <c r="AO31" s="127"/>
      <c r="AQ31" s="128"/>
      <c r="AR31" s="65">
        <f t="shared" si="5"/>
      </c>
      <c r="AS31" s="126"/>
      <c r="AT31" s="65">
        <f t="shared" si="6"/>
      </c>
      <c r="AU31" s="126"/>
      <c r="AV31" s="65">
        <f t="shared" si="7"/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5">
        <v>1786596</v>
      </c>
      <c r="D32" s="138">
        <f t="shared" si="0"/>
        <v>2.646</v>
      </c>
      <c r="E32" s="140">
        <v>4.9</v>
      </c>
      <c r="F32" s="141">
        <v>1</v>
      </c>
      <c r="G32" s="81" t="str">
        <f t="shared" si="8"/>
        <v>0.00</v>
      </c>
      <c r="H32" s="85">
        <v>0</v>
      </c>
      <c r="I32" s="86">
        <v>3500</v>
      </c>
      <c r="K32" s="87" t="s">
        <v>210</v>
      </c>
      <c r="L32" s="85">
        <v>45</v>
      </c>
      <c r="M32" s="88">
        <v>0.01</v>
      </c>
      <c r="O32" s="107"/>
      <c r="Q32" s="108" t="s">
        <v>13</v>
      </c>
      <c r="R32" s="153" t="s">
        <v>13</v>
      </c>
      <c r="S32" s="109" t="s">
        <v>13</v>
      </c>
      <c r="U32" s="93">
        <v>7</v>
      </c>
      <c r="V32" s="94">
        <v>7</v>
      </c>
      <c r="W32" s="95">
        <v>6.5</v>
      </c>
      <c r="Y32" s="90">
        <v>11</v>
      </c>
      <c r="Z32" s="96">
        <v>10</v>
      </c>
      <c r="AA32" s="92">
        <v>11</v>
      </c>
      <c r="AC32" s="93">
        <v>4</v>
      </c>
      <c r="AD32" s="91">
        <v>0</v>
      </c>
      <c r="AE32" s="97">
        <v>0</v>
      </c>
      <c r="AG32" s="45">
        <f t="shared" si="1"/>
        <v>21</v>
      </c>
      <c r="AI32" s="98"/>
      <c r="AJ32" s="55">
        <f t="shared" si="2"/>
      </c>
      <c r="AK32" s="98"/>
      <c r="AL32" s="55">
        <f t="shared" si="3"/>
      </c>
      <c r="AM32" s="98"/>
      <c r="AN32" s="55">
        <f t="shared" si="4"/>
      </c>
      <c r="AO32" s="110"/>
      <c r="AQ32" s="100"/>
      <c r="AR32" s="55">
        <f t="shared" si="5"/>
      </c>
      <c r="AS32" s="98"/>
      <c r="AT32" s="55">
        <f t="shared" si="6"/>
      </c>
      <c r="AU32" s="98"/>
      <c r="AV32" s="55">
        <f t="shared" si="7"/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5">
        <v>1789357</v>
      </c>
      <c r="D33" s="138">
        <f t="shared" si="0"/>
        <v>2.761</v>
      </c>
      <c r="E33" s="140">
        <v>5.8</v>
      </c>
      <c r="F33" s="141">
        <v>1.1</v>
      </c>
      <c r="G33" s="81" t="str">
        <f t="shared" si="8"/>
        <v>0.00</v>
      </c>
      <c r="H33" s="85">
        <v>1700</v>
      </c>
      <c r="I33" s="86">
        <v>7250</v>
      </c>
      <c r="K33" s="87" t="s">
        <v>208</v>
      </c>
      <c r="L33" s="85">
        <v>42</v>
      </c>
      <c r="M33" s="88">
        <v>0.33</v>
      </c>
      <c r="O33" s="107"/>
      <c r="Q33" s="108"/>
      <c r="R33" s="153"/>
      <c r="S33" s="109"/>
      <c r="U33" s="93">
        <v>6.6</v>
      </c>
      <c r="V33" s="94">
        <v>6.4</v>
      </c>
      <c r="W33" s="95">
        <v>6</v>
      </c>
      <c r="Y33" s="90">
        <v>12</v>
      </c>
      <c r="Z33" s="96">
        <v>11</v>
      </c>
      <c r="AA33" s="92">
        <v>12</v>
      </c>
      <c r="AC33" s="93">
        <v>17</v>
      </c>
      <c r="AD33" s="91">
        <v>0.3</v>
      </c>
      <c r="AE33" s="97">
        <v>0</v>
      </c>
      <c r="AG33" s="45">
        <f t="shared" si="1"/>
        <v>22</v>
      </c>
      <c r="AI33" s="98"/>
      <c r="AJ33" s="55">
        <f t="shared" si="2"/>
      </c>
      <c r="AK33" s="98"/>
      <c r="AL33" s="55">
        <f t="shared" si="3"/>
      </c>
      <c r="AM33" s="98"/>
      <c r="AN33" s="55">
        <f t="shared" si="4"/>
      </c>
      <c r="AO33" s="110"/>
      <c r="AQ33" s="100"/>
      <c r="AR33" s="55">
        <f t="shared" si="5"/>
      </c>
      <c r="AS33" s="98"/>
      <c r="AT33" s="55">
        <f t="shared" si="6"/>
      </c>
      <c r="AU33" s="98"/>
      <c r="AV33" s="55">
        <f t="shared" si="7"/>
      </c>
      <c r="AX33" s="100">
        <v>51750</v>
      </c>
      <c r="AY33" s="101">
        <v>3</v>
      </c>
      <c r="AZ33" s="102">
        <v>3.25</v>
      </c>
      <c r="BA33" s="98">
        <v>31</v>
      </c>
      <c r="BB33" s="102">
        <v>29</v>
      </c>
      <c r="BC33" s="98">
        <v>24</v>
      </c>
      <c r="BD33" s="98"/>
      <c r="BE33" s="103"/>
      <c r="BG33" s="100">
        <v>24</v>
      </c>
      <c r="BH33" s="84" t="s">
        <v>212</v>
      </c>
      <c r="BI33" s="104" t="s">
        <v>211</v>
      </c>
      <c r="BK33" s="17"/>
      <c r="BL33" s="19"/>
      <c r="BM33" s="56" t="s">
        <v>1</v>
      </c>
      <c r="BN33" s="20"/>
      <c r="BO33" s="57" t="s">
        <v>130</v>
      </c>
      <c r="BP33" s="26"/>
      <c r="BQ33" s="148">
        <f>(D47)</f>
        <v>3.2063999999999995</v>
      </c>
      <c r="BR33" s="148">
        <f>(D45)</f>
        <v>4.239</v>
      </c>
      <c r="BS33" s="105" t="s">
        <v>127</v>
      </c>
      <c r="BT33" s="105"/>
      <c r="BU33" s="239" t="s">
        <v>150</v>
      </c>
      <c r="BV33" s="239" t="s">
        <v>150</v>
      </c>
      <c r="BW33" s="239" t="s">
        <v>150</v>
      </c>
      <c r="BX33" s="239" t="s">
        <v>150</v>
      </c>
      <c r="BY33" s="105"/>
      <c r="BZ33" s="105">
        <v>0</v>
      </c>
      <c r="CA33" s="149" t="s">
        <v>24</v>
      </c>
      <c r="CB33" s="105" t="s">
        <v>25</v>
      </c>
      <c r="CC33" s="137"/>
      <c r="CJ33" s="326" t="s">
        <v>17</v>
      </c>
      <c r="CK33" s="328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5">
        <v>1792249</v>
      </c>
      <c r="D34" s="138">
        <f t="shared" si="0"/>
        <v>2.892</v>
      </c>
      <c r="E34" s="140">
        <v>4.8</v>
      </c>
      <c r="F34" s="141">
        <v>1</v>
      </c>
      <c r="G34" s="81" t="str">
        <f t="shared" si="8"/>
        <v>0.00</v>
      </c>
      <c r="H34" s="85">
        <v>3000</v>
      </c>
      <c r="I34" s="86">
        <v>10000</v>
      </c>
      <c r="K34" s="87" t="s">
        <v>208</v>
      </c>
      <c r="L34" s="85">
        <v>44</v>
      </c>
      <c r="M34" s="88">
        <v>0.06</v>
      </c>
      <c r="O34" s="107"/>
      <c r="Q34" s="108" t="s">
        <v>14</v>
      </c>
      <c r="R34" s="153" t="s">
        <v>14</v>
      </c>
      <c r="S34" s="109" t="s">
        <v>14</v>
      </c>
      <c r="U34" s="93">
        <v>7</v>
      </c>
      <c r="V34" s="94">
        <v>7</v>
      </c>
      <c r="W34" s="95">
        <v>6.5</v>
      </c>
      <c r="Y34" s="90">
        <v>11</v>
      </c>
      <c r="Z34" s="96">
        <v>11</v>
      </c>
      <c r="AA34" s="92">
        <v>12</v>
      </c>
      <c r="AC34" s="93">
        <v>5</v>
      </c>
      <c r="AD34" s="91">
        <v>0.01</v>
      </c>
      <c r="AE34" s="97">
        <v>0</v>
      </c>
      <c r="AG34" s="45">
        <f t="shared" si="1"/>
        <v>23</v>
      </c>
      <c r="AI34" s="98">
        <v>207</v>
      </c>
      <c r="AJ34" s="55">
        <f t="shared" si="2"/>
        <v>4992.69096</v>
      </c>
      <c r="AK34" s="98"/>
      <c r="AL34" s="55">
        <f t="shared" si="3"/>
      </c>
      <c r="AM34" s="98">
        <v>18</v>
      </c>
      <c r="AN34" s="55">
        <f t="shared" si="4"/>
        <v>434.14703999999995</v>
      </c>
      <c r="AO34" s="110">
        <v>14</v>
      </c>
      <c r="AQ34" s="100">
        <v>198</v>
      </c>
      <c r="AR34" s="55">
        <f t="shared" si="5"/>
        <v>4775.61744</v>
      </c>
      <c r="AS34" s="98"/>
      <c r="AT34" s="55">
        <f t="shared" si="6"/>
      </c>
      <c r="AU34" s="98">
        <v>22</v>
      </c>
      <c r="AV34" s="55">
        <f t="shared" si="7"/>
        <v>530.62416</v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160">
        <v>3.85</v>
      </c>
      <c r="BR34" s="156" t="s">
        <v>146</v>
      </c>
      <c r="BS34" s="156" t="s">
        <v>127</v>
      </c>
      <c r="BT34" s="105"/>
      <c r="BU34" s="238" t="s">
        <v>150</v>
      </c>
      <c r="BV34" s="238" t="s">
        <v>150</v>
      </c>
      <c r="BW34" s="238" t="s">
        <v>150</v>
      </c>
      <c r="BX34" s="238" t="s">
        <v>150</v>
      </c>
      <c r="BY34" s="105"/>
      <c r="BZ34" s="238" t="s">
        <v>150</v>
      </c>
      <c r="CA34" s="161" t="s">
        <v>24</v>
      </c>
      <c r="CB34" s="156" t="s">
        <v>25</v>
      </c>
      <c r="CC34" s="137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5">
        <v>1795004</v>
      </c>
      <c r="D35" s="138">
        <f t="shared" si="0"/>
        <v>2.755</v>
      </c>
      <c r="E35" s="140">
        <v>4.8</v>
      </c>
      <c r="F35" s="141">
        <v>1</v>
      </c>
      <c r="G35" s="81" t="str">
        <f t="shared" si="8"/>
        <v>0.00</v>
      </c>
      <c r="H35" s="85">
        <v>0</v>
      </c>
      <c r="I35" s="86">
        <v>5000</v>
      </c>
      <c r="K35" s="87" t="s">
        <v>208</v>
      </c>
      <c r="L35" s="85">
        <v>41</v>
      </c>
      <c r="M35" s="88">
        <v>0.08</v>
      </c>
      <c r="O35" s="107"/>
      <c r="Q35" s="108"/>
      <c r="R35" s="153"/>
      <c r="S35" s="109"/>
      <c r="U35" s="93">
        <v>7</v>
      </c>
      <c r="V35" s="94">
        <v>7</v>
      </c>
      <c r="W35" s="95">
        <v>6.4</v>
      </c>
      <c r="Y35" s="90">
        <v>11</v>
      </c>
      <c r="Z35" s="96">
        <v>10</v>
      </c>
      <c r="AA35" s="92">
        <v>11</v>
      </c>
      <c r="AC35" s="93">
        <v>7</v>
      </c>
      <c r="AD35" s="91">
        <v>0.3</v>
      </c>
      <c r="AE35" s="97">
        <v>0.01</v>
      </c>
      <c r="AG35" s="45">
        <f t="shared" si="1"/>
        <v>24</v>
      </c>
      <c r="AI35" s="98">
        <v>276</v>
      </c>
      <c r="AJ35" s="55">
        <f t="shared" si="2"/>
        <v>6341.5692</v>
      </c>
      <c r="AK35" s="98"/>
      <c r="AL35" s="55">
        <f t="shared" si="3"/>
      </c>
      <c r="AM35" s="98">
        <v>18</v>
      </c>
      <c r="AN35" s="55">
        <f t="shared" si="4"/>
        <v>413.58059999999995</v>
      </c>
      <c r="AO35" s="110">
        <v>12</v>
      </c>
      <c r="AQ35" s="100">
        <v>222</v>
      </c>
      <c r="AR35" s="55">
        <f t="shared" si="5"/>
        <v>5100.8274</v>
      </c>
      <c r="AS35" s="98"/>
      <c r="AT35" s="55">
        <f t="shared" si="6"/>
      </c>
      <c r="AU35" s="98">
        <v>23</v>
      </c>
      <c r="AV35" s="55">
        <f t="shared" si="7"/>
        <v>528.4640999999999</v>
      </c>
      <c r="AX35" s="100">
        <v>45119</v>
      </c>
      <c r="AY35" s="101">
        <v>4</v>
      </c>
      <c r="AZ35" s="102">
        <v>3.5</v>
      </c>
      <c r="BA35" s="98">
        <v>27.9</v>
      </c>
      <c r="BB35" s="102">
        <v>28</v>
      </c>
      <c r="BC35" s="98">
        <v>24</v>
      </c>
      <c r="BD35" s="98"/>
      <c r="BE35" s="103"/>
      <c r="BG35" s="100">
        <v>24</v>
      </c>
      <c r="BH35" s="84" t="s">
        <v>212</v>
      </c>
      <c r="BI35" s="104" t="s">
        <v>211</v>
      </c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3">
        <v>1797771</v>
      </c>
      <c r="D36" s="139">
        <f t="shared" si="0"/>
        <v>2.767</v>
      </c>
      <c r="E36" s="142">
        <v>4.8</v>
      </c>
      <c r="F36" s="143">
        <v>1</v>
      </c>
      <c r="G36" s="184" t="str">
        <f t="shared" si="8"/>
        <v>0.00</v>
      </c>
      <c r="H36" s="113">
        <v>3000</v>
      </c>
      <c r="I36" s="114">
        <v>6000</v>
      </c>
      <c r="K36" s="115" t="s">
        <v>210</v>
      </c>
      <c r="L36" s="113">
        <v>43</v>
      </c>
      <c r="M36" s="116">
        <v>0</v>
      </c>
      <c r="O36" s="117">
        <v>2</v>
      </c>
      <c r="Q36" s="108" t="s">
        <v>12</v>
      </c>
      <c r="R36" s="153" t="s">
        <v>12</v>
      </c>
      <c r="S36" s="109" t="s">
        <v>12</v>
      </c>
      <c r="U36" s="118">
        <v>6.9</v>
      </c>
      <c r="V36" s="119">
        <v>7</v>
      </c>
      <c r="W36" s="120">
        <v>6.5</v>
      </c>
      <c r="Y36" s="121">
        <v>11</v>
      </c>
      <c r="Z36" s="122">
        <v>11</v>
      </c>
      <c r="AA36" s="123">
        <v>11</v>
      </c>
      <c r="AC36" s="118">
        <v>8.5</v>
      </c>
      <c r="AD36" s="124">
        <v>0.01</v>
      </c>
      <c r="AE36" s="125">
        <v>0</v>
      </c>
      <c r="AG36" s="45">
        <f t="shared" si="1"/>
        <v>25</v>
      </c>
      <c r="AI36" s="126">
        <v>268</v>
      </c>
      <c r="AJ36" s="65">
        <f t="shared" si="2"/>
        <v>6184.577039999999</v>
      </c>
      <c r="AK36" s="126">
        <v>163</v>
      </c>
      <c r="AL36" s="65">
        <f t="shared" si="3"/>
        <v>3761.5151399999995</v>
      </c>
      <c r="AM36" s="126">
        <v>17</v>
      </c>
      <c r="AN36" s="65">
        <f t="shared" si="4"/>
        <v>392.30526000000003</v>
      </c>
      <c r="AO36" s="127">
        <v>12</v>
      </c>
      <c r="AQ36" s="128">
        <v>212</v>
      </c>
      <c r="AR36" s="65">
        <f t="shared" si="5"/>
        <v>4892.277359999999</v>
      </c>
      <c r="AS36" s="126">
        <v>72</v>
      </c>
      <c r="AT36" s="65">
        <f t="shared" si="6"/>
        <v>1661.5281599999998</v>
      </c>
      <c r="AU36" s="126">
        <v>18</v>
      </c>
      <c r="AV36" s="65">
        <f t="shared" si="7"/>
        <v>415.38203999999996</v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5">
        <v>1800570</v>
      </c>
      <c r="D37" s="138">
        <f t="shared" si="0"/>
        <v>2.799</v>
      </c>
      <c r="E37" s="140">
        <v>4.4</v>
      </c>
      <c r="F37" s="141">
        <v>1.6</v>
      </c>
      <c r="G37" s="81" t="str">
        <f t="shared" si="8"/>
        <v>0.00</v>
      </c>
      <c r="H37" s="85">
        <v>0</v>
      </c>
      <c r="I37" s="86">
        <v>0</v>
      </c>
      <c r="K37" s="87" t="s">
        <v>208</v>
      </c>
      <c r="L37" s="85">
        <v>41</v>
      </c>
      <c r="M37" s="88">
        <v>0.8</v>
      </c>
      <c r="O37" s="107"/>
      <c r="Q37" s="108"/>
      <c r="R37" s="153"/>
      <c r="S37" s="109"/>
      <c r="U37" s="93">
        <v>6.8</v>
      </c>
      <c r="V37" s="94">
        <v>6.9</v>
      </c>
      <c r="W37" s="95">
        <v>6.4</v>
      </c>
      <c r="Y37" s="90">
        <v>12</v>
      </c>
      <c r="Z37" s="96">
        <v>11</v>
      </c>
      <c r="AA37" s="92">
        <v>12</v>
      </c>
      <c r="AC37" s="93">
        <v>2.5</v>
      </c>
      <c r="AD37" s="91">
        <v>0.01</v>
      </c>
      <c r="AE37" s="97">
        <v>0</v>
      </c>
      <c r="AG37" s="45">
        <f t="shared" si="1"/>
        <v>26</v>
      </c>
      <c r="AI37" s="98"/>
      <c r="AJ37" s="55">
        <f t="shared" si="2"/>
      </c>
      <c r="AK37" s="98"/>
      <c r="AL37" s="55">
        <f t="shared" si="3"/>
      </c>
      <c r="AM37" s="98"/>
      <c r="AN37" s="55">
        <f t="shared" si="4"/>
      </c>
      <c r="AO37" s="110"/>
      <c r="AQ37" s="100"/>
      <c r="AR37" s="55">
        <f t="shared" si="5"/>
      </c>
      <c r="AS37" s="98"/>
      <c r="AT37" s="55">
        <f t="shared" si="6"/>
      </c>
      <c r="AU37" s="98"/>
      <c r="AV37" s="55">
        <f t="shared" si="7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2">
        <f>(IF(((SUM(AJ12:AJ42))=0)," ",(((AJ47-(D47*AO47*8.346))/AJ47)*100)))</f>
        <v>94.45427593907301</v>
      </c>
      <c r="CK37" s="333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5">
        <v>1803488</v>
      </c>
      <c r="D38" s="138">
        <f t="shared" si="0"/>
        <v>2.918</v>
      </c>
      <c r="E38" s="140">
        <v>5.2</v>
      </c>
      <c r="F38" s="141">
        <v>1.4</v>
      </c>
      <c r="G38" s="81" t="str">
        <f t="shared" si="8"/>
        <v>0.00</v>
      </c>
      <c r="H38" s="85">
        <v>0</v>
      </c>
      <c r="I38" s="86">
        <v>0</v>
      </c>
      <c r="K38" s="87" t="s">
        <v>208</v>
      </c>
      <c r="L38" s="85">
        <v>49</v>
      </c>
      <c r="M38" s="88">
        <v>0.23</v>
      </c>
      <c r="O38" s="107"/>
      <c r="Q38" s="108" t="s">
        <v>10</v>
      </c>
      <c r="R38" s="153" t="s">
        <v>10</v>
      </c>
      <c r="S38" s="109" t="s">
        <v>10</v>
      </c>
      <c r="U38" s="93">
        <v>6.8</v>
      </c>
      <c r="V38" s="94">
        <v>6.8</v>
      </c>
      <c r="W38" s="95">
        <v>6.4</v>
      </c>
      <c r="Y38" s="90">
        <v>11</v>
      </c>
      <c r="Z38" s="96">
        <v>10</v>
      </c>
      <c r="AA38" s="92">
        <v>11</v>
      </c>
      <c r="AC38" s="93">
        <v>3</v>
      </c>
      <c r="AD38" s="91">
        <v>0</v>
      </c>
      <c r="AE38" s="97">
        <v>0</v>
      </c>
      <c r="AG38" s="45">
        <f t="shared" si="1"/>
        <v>27</v>
      </c>
      <c r="AI38" s="98"/>
      <c r="AJ38" s="55">
        <f t="shared" si="2"/>
      </c>
      <c r="AK38" s="98"/>
      <c r="AL38" s="55">
        <f t="shared" si="3"/>
      </c>
      <c r="AM38" s="98"/>
      <c r="AN38" s="55">
        <f t="shared" si="4"/>
      </c>
      <c r="AO38" s="110"/>
      <c r="AQ38" s="100"/>
      <c r="AR38" s="55">
        <f t="shared" si="5"/>
      </c>
      <c r="AS38" s="98"/>
      <c r="AT38" s="55">
        <f t="shared" si="6"/>
      </c>
      <c r="AU38" s="98"/>
      <c r="AV38" s="55">
        <f t="shared" si="7"/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39" t="s">
        <v>150</v>
      </c>
      <c r="BR38" s="239" t="s">
        <v>150</v>
      </c>
      <c r="BS38" s="239" t="s">
        <v>150</v>
      </c>
      <c r="BT38" s="105"/>
      <c r="BU38" s="146">
        <f>(AN49)</f>
        <v>92.68739865726756</v>
      </c>
      <c r="BV38" s="239" t="s">
        <v>150</v>
      </c>
      <c r="BW38" s="239" t="s">
        <v>150</v>
      </c>
      <c r="BX38" s="105" t="s">
        <v>129</v>
      </c>
      <c r="BY38" s="105"/>
      <c r="BZ38" s="105">
        <v>0</v>
      </c>
      <c r="CA38" s="145" t="s">
        <v>49</v>
      </c>
      <c r="CB38" s="105" t="s">
        <v>26</v>
      </c>
      <c r="CC38" s="137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5">
        <v>1806603</v>
      </c>
      <c r="D39" s="138">
        <f t="shared" si="0"/>
        <v>3.115</v>
      </c>
      <c r="E39" s="140">
        <v>5.4</v>
      </c>
      <c r="F39" s="141">
        <v>1.2</v>
      </c>
      <c r="G39" s="81" t="str">
        <f t="shared" si="8"/>
        <v>0.00</v>
      </c>
      <c r="H39" s="85">
        <v>3000</v>
      </c>
      <c r="I39" s="86">
        <v>8000</v>
      </c>
      <c r="K39" s="87" t="s">
        <v>210</v>
      </c>
      <c r="L39" s="85">
        <v>52</v>
      </c>
      <c r="M39" s="88">
        <v>0</v>
      </c>
      <c r="O39" s="107"/>
      <c r="Q39" s="108"/>
      <c r="R39" s="153"/>
      <c r="S39" s="109"/>
      <c r="U39" s="93">
        <v>7</v>
      </c>
      <c r="V39" s="94">
        <v>6.9</v>
      </c>
      <c r="W39" s="95">
        <v>6.5</v>
      </c>
      <c r="Y39" s="90">
        <v>11</v>
      </c>
      <c r="Z39" s="96">
        <v>11</v>
      </c>
      <c r="AA39" s="92">
        <v>12</v>
      </c>
      <c r="AC39" s="93">
        <v>6</v>
      </c>
      <c r="AD39" s="91">
        <v>0.01</v>
      </c>
      <c r="AE39" s="97">
        <v>0</v>
      </c>
      <c r="AG39" s="45">
        <f t="shared" si="1"/>
        <v>28</v>
      </c>
      <c r="AI39" s="98"/>
      <c r="AJ39" s="55">
        <f t="shared" si="2"/>
      </c>
      <c r="AK39" s="98"/>
      <c r="AL39" s="55">
        <f t="shared" si="3"/>
      </c>
      <c r="AM39" s="98"/>
      <c r="AN39" s="55">
        <f t="shared" si="4"/>
      </c>
      <c r="AO39" s="110"/>
      <c r="AQ39" s="100"/>
      <c r="AR39" s="55">
        <f t="shared" si="5"/>
      </c>
      <c r="AS39" s="98"/>
      <c r="AT39" s="55">
        <f t="shared" si="6"/>
      </c>
      <c r="AU39" s="98"/>
      <c r="AV39" s="55">
        <f t="shared" si="7"/>
      </c>
      <c r="AX39" s="100">
        <v>51734</v>
      </c>
      <c r="AY39" s="101">
        <v>3</v>
      </c>
      <c r="AZ39" s="102">
        <v>2.25</v>
      </c>
      <c r="BA39" s="98">
        <v>31</v>
      </c>
      <c r="BB39" s="102">
        <v>28</v>
      </c>
      <c r="BC39" s="98">
        <v>24</v>
      </c>
      <c r="BD39" s="98"/>
      <c r="BE39" s="103"/>
      <c r="BG39" s="100">
        <v>24</v>
      </c>
      <c r="BH39" s="84" t="s">
        <v>212</v>
      </c>
      <c r="BI39" s="104" t="s">
        <v>211</v>
      </c>
      <c r="BK39" s="17"/>
      <c r="BL39" s="19"/>
      <c r="BM39" s="26" t="s">
        <v>118</v>
      </c>
      <c r="BN39" s="20"/>
      <c r="BO39" s="154" t="s">
        <v>131</v>
      </c>
      <c r="BP39" s="26"/>
      <c r="BQ39" s="238" t="s">
        <v>150</v>
      </c>
      <c r="BR39" s="238" t="s">
        <v>150</v>
      </c>
      <c r="BS39" s="238" t="s">
        <v>150</v>
      </c>
      <c r="BT39" s="105"/>
      <c r="BU39" s="159">
        <v>85</v>
      </c>
      <c r="BV39" s="238" t="s">
        <v>150</v>
      </c>
      <c r="BW39" s="238" t="s">
        <v>150</v>
      </c>
      <c r="BX39" s="156" t="s">
        <v>129</v>
      </c>
      <c r="BY39" s="105"/>
      <c r="BZ39" s="238" t="s">
        <v>150</v>
      </c>
      <c r="CA39" s="158" t="s">
        <v>49</v>
      </c>
      <c r="CB39" s="156" t="s">
        <v>26</v>
      </c>
      <c r="CC39" s="137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4">
        <v>29</v>
      </c>
      <c r="C40" s="85">
        <v>1809671</v>
      </c>
      <c r="D40" s="138">
        <f t="shared" si="0"/>
        <v>3.068</v>
      </c>
      <c r="E40" s="140">
        <v>4.4</v>
      </c>
      <c r="F40" s="141">
        <v>1.2</v>
      </c>
      <c r="G40" s="81" t="str">
        <f t="shared" si="8"/>
        <v>0.00</v>
      </c>
      <c r="H40" s="85">
        <v>6400</v>
      </c>
      <c r="I40" s="86">
        <v>9750</v>
      </c>
      <c r="K40" s="87" t="s">
        <v>210</v>
      </c>
      <c r="L40" s="85">
        <v>64</v>
      </c>
      <c r="M40" s="88">
        <v>0</v>
      </c>
      <c r="O40" s="107"/>
      <c r="Q40" s="108" t="s">
        <v>15</v>
      </c>
      <c r="R40" s="153" t="s">
        <v>15</v>
      </c>
      <c r="S40" s="109" t="s">
        <v>15</v>
      </c>
      <c r="U40" s="93">
        <v>7.1</v>
      </c>
      <c r="V40" s="94">
        <v>7</v>
      </c>
      <c r="W40" s="95">
        <v>6.5</v>
      </c>
      <c r="Y40" s="90">
        <v>11</v>
      </c>
      <c r="Z40" s="96">
        <v>11</v>
      </c>
      <c r="AA40" s="92">
        <v>13</v>
      </c>
      <c r="AC40" s="93">
        <v>7</v>
      </c>
      <c r="AD40" s="91">
        <v>0.1</v>
      </c>
      <c r="AE40" s="97">
        <v>0</v>
      </c>
      <c r="AG40" s="45">
        <f t="shared" si="1"/>
        <v>29</v>
      </c>
      <c r="AI40" s="98"/>
      <c r="AJ40" s="55">
        <f t="shared" si="2"/>
      </c>
      <c r="AK40" s="98"/>
      <c r="AL40" s="55">
        <f t="shared" si="3"/>
      </c>
      <c r="AM40" s="98"/>
      <c r="AN40" s="55">
        <f t="shared" si="4"/>
      </c>
      <c r="AO40" s="110"/>
      <c r="AQ40" s="100"/>
      <c r="AR40" s="55">
        <f t="shared" si="5"/>
      </c>
      <c r="AS40" s="98"/>
      <c r="AT40" s="55">
        <f t="shared" si="6"/>
      </c>
      <c r="AU40" s="98"/>
      <c r="AV40" s="55">
        <f t="shared" si="7"/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4">
        <v>30</v>
      </c>
      <c r="C41" s="85">
        <v>1812640</v>
      </c>
      <c r="D41" s="138">
        <f t="shared" si="0"/>
        <v>2.969</v>
      </c>
      <c r="E41" s="140">
        <v>4.6</v>
      </c>
      <c r="F41" s="141">
        <v>1</v>
      </c>
      <c r="G41" s="81" t="str">
        <f t="shared" si="8"/>
        <v>0.00</v>
      </c>
      <c r="H41" s="85">
        <v>2000</v>
      </c>
      <c r="I41" s="86">
        <v>7250</v>
      </c>
      <c r="K41" s="87" t="s">
        <v>210</v>
      </c>
      <c r="L41" s="85">
        <v>50</v>
      </c>
      <c r="M41" s="88">
        <v>0</v>
      </c>
      <c r="O41" s="107"/>
      <c r="Q41" s="108"/>
      <c r="R41" s="153"/>
      <c r="S41" s="109"/>
      <c r="U41" s="93">
        <v>7</v>
      </c>
      <c r="V41" s="94">
        <v>7</v>
      </c>
      <c r="W41" s="95">
        <v>6.4</v>
      </c>
      <c r="Y41" s="90">
        <v>12</v>
      </c>
      <c r="Z41" s="96">
        <v>11</v>
      </c>
      <c r="AA41" s="92">
        <v>13</v>
      </c>
      <c r="AC41" s="93">
        <v>5</v>
      </c>
      <c r="AD41" s="91">
        <v>0.1</v>
      </c>
      <c r="AE41" s="97">
        <v>0</v>
      </c>
      <c r="AG41" s="45">
        <f t="shared" si="1"/>
        <v>30</v>
      </c>
      <c r="AI41" s="98">
        <v>223</v>
      </c>
      <c r="AJ41" s="55">
        <f t="shared" si="2"/>
        <v>5521.80558</v>
      </c>
      <c r="AK41" s="98"/>
      <c r="AL41" s="55">
        <f t="shared" si="3"/>
      </c>
      <c r="AM41" s="98">
        <v>17</v>
      </c>
      <c r="AN41" s="55">
        <f t="shared" si="4"/>
        <v>420.94482</v>
      </c>
      <c r="AO41" s="110">
        <v>14</v>
      </c>
      <c r="AQ41" s="100">
        <v>272</v>
      </c>
      <c r="AR41" s="55">
        <f t="shared" si="5"/>
        <v>6735.11712</v>
      </c>
      <c r="AS41" s="98"/>
      <c r="AT41" s="55">
        <f t="shared" si="6"/>
      </c>
      <c r="AU41" s="98">
        <v>20</v>
      </c>
      <c r="AV41" s="55">
        <f t="shared" si="7"/>
        <v>495.22919999999993</v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4">
        <v>31</v>
      </c>
      <c r="C42" s="113"/>
      <c r="D42" s="139" t="str">
        <f t="shared" si="0"/>
        <v> </v>
      </c>
      <c r="E42" s="142"/>
      <c r="F42" s="143"/>
      <c r="G42" s="184" t="str">
        <f t="shared" si="8"/>
        <v> </v>
      </c>
      <c r="H42" s="113"/>
      <c r="I42" s="114"/>
      <c r="K42" s="115"/>
      <c r="L42" s="113"/>
      <c r="M42" s="116"/>
      <c r="O42" s="117"/>
      <c r="Q42" s="133"/>
      <c r="R42" s="112"/>
      <c r="S42" s="114"/>
      <c r="U42" s="134"/>
      <c r="V42" s="135"/>
      <c r="W42" s="136"/>
      <c r="Y42" s="133"/>
      <c r="Z42" s="113"/>
      <c r="AA42" s="114"/>
      <c r="AC42" s="134"/>
      <c r="AD42" s="112"/>
      <c r="AE42" s="116"/>
      <c r="AG42" s="45">
        <f t="shared" si="1"/>
        <v>31</v>
      </c>
      <c r="AI42" s="126"/>
      <c r="AJ42" s="65">
        <f t="shared" si="2"/>
      </c>
      <c r="AK42" s="126"/>
      <c r="AL42" s="65">
        <f t="shared" si="3"/>
      </c>
      <c r="AM42" s="126"/>
      <c r="AN42" s="65">
        <f t="shared" si="4"/>
      </c>
      <c r="AO42" s="127"/>
      <c r="AQ42" s="128"/>
      <c r="AR42" s="65">
        <f t="shared" si="5"/>
      </c>
      <c r="AS42" s="126"/>
      <c r="AT42" s="65">
        <f t="shared" si="6"/>
      </c>
      <c r="AU42" s="126"/>
      <c r="AV42" s="65">
        <f t="shared" si="7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9" t="s">
        <v>150</v>
      </c>
      <c r="BR43" s="239" t="s">
        <v>150</v>
      </c>
      <c r="BS43" s="239" t="s">
        <v>150</v>
      </c>
      <c r="BT43" s="105"/>
      <c r="BU43" s="146">
        <f>(AU49)</f>
        <v>88.57371154614462</v>
      </c>
      <c r="BV43" s="239" t="s">
        <v>150</v>
      </c>
      <c r="BW43" s="239" t="s">
        <v>150</v>
      </c>
      <c r="BX43" s="105" t="s">
        <v>129</v>
      </c>
      <c r="BY43" s="105"/>
      <c r="BZ43" s="105">
        <v>0</v>
      </c>
      <c r="CA43" s="145" t="s">
        <v>49</v>
      </c>
      <c r="CB43" s="105" t="s">
        <v>26</v>
      </c>
      <c r="CC43" s="137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9">
        <f>(IF(((SUM(C12:C42))=0)," ",((MAX(C12:C42))-C11)))</f>
        <v>96192</v>
      </c>
      <c r="D44" s="228">
        <f>(IF(((SUM(D12:D42))=0)," ",(SUM(D12:D42))))</f>
        <v>96.19199999999998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52650</v>
      </c>
      <c r="I44" s="196">
        <f>(IF(((SUM(I12:I42))=0)," ",(SUM(I12:I42))))</f>
        <v>131000</v>
      </c>
      <c r="K44" s="200" t="s">
        <v>150</v>
      </c>
      <c r="L44" s="201" t="s">
        <v>150</v>
      </c>
      <c r="M44" s="202">
        <f>(IF(((SUM(M12:M42))=0)," ",(SUM(M11:M42))))</f>
        <v>2.7000000000000006</v>
      </c>
      <c r="O44" s="203">
        <f>(IF(((SUM(O12:O42))=0),"0.0",(SUM(O11:O42))))</f>
        <v>2</v>
      </c>
      <c r="Q44" s="199" t="str">
        <f>(IF(((SUM(Q12:Q42))=0),"0",(SUM(Q11:Q42))))</f>
        <v>0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373969</v>
      </c>
      <c r="AY44" s="201" t="s">
        <v>150</v>
      </c>
      <c r="AZ44" s="212">
        <f>(IF(((SUM(AZ12:AZ42))=0)," ",(SUM(AZ12:AZ42))))</f>
        <v>24</v>
      </c>
      <c r="BA44" s="199">
        <f>(IF(((SUM(BA12:BA42))=0)," ",(SUM(BA12:BA42))))</f>
        <v>232.5</v>
      </c>
      <c r="BB44" s="207" t="s">
        <v>150</v>
      </c>
      <c r="BC44" s="199">
        <f>(IF(((SUM(BC12:BC42))=0)," ",(SUM(BC12:BC42))))</f>
        <v>186</v>
      </c>
      <c r="BD44" s="189" t="str">
        <f>(IF(((SUM(BD12:BD42))=0)," ",(SUM(BD12:BD42))))</f>
        <v> </v>
      </c>
      <c r="BE44" s="210" t="s">
        <v>150</v>
      </c>
      <c r="BG44" s="213">
        <f>(IF(((SUM(BG12:BG42))=0)," ",(SUM(BG12:BG42))))</f>
        <v>186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38" t="s">
        <v>150</v>
      </c>
      <c r="BR44" s="238" t="s">
        <v>150</v>
      </c>
      <c r="BS44" s="238" t="s">
        <v>150</v>
      </c>
      <c r="BT44" s="105"/>
      <c r="BU44" s="159">
        <v>85</v>
      </c>
      <c r="BV44" s="238" t="s">
        <v>150</v>
      </c>
      <c r="BW44" s="238" t="s">
        <v>150</v>
      </c>
      <c r="BX44" s="156" t="s">
        <v>129</v>
      </c>
      <c r="BY44" s="105"/>
      <c r="BZ44" s="238" t="s">
        <v>150</v>
      </c>
      <c r="CA44" s="158" t="s">
        <v>49</v>
      </c>
      <c r="CB44" s="156" t="s">
        <v>26</v>
      </c>
      <c r="CC44" s="137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4.239</v>
      </c>
      <c r="E45" s="216">
        <f>(IF((SUM(E12:E42))=0," ",(MAX(E12:E42))))</f>
        <v>5.8</v>
      </c>
      <c r="F45" s="217">
        <f>(IF((SUM(F12:F42))=0," ",(MAX(F12:F42))))</f>
        <v>1.8</v>
      </c>
      <c r="G45" s="216">
        <f>(MAX(G12:G42))</f>
        <v>0</v>
      </c>
      <c r="H45" s="162">
        <f>(IF((SUM(H12:H42))=0," ",(MAX(H12:H42))))</f>
        <v>7500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64</v>
      </c>
      <c r="M45" s="219">
        <f>(IF((SUM(M12:M42))=0," ",(MAX(M12:M42))))</f>
        <v>0.8</v>
      </c>
      <c r="O45" s="220" t="s">
        <v>150</v>
      </c>
      <c r="Q45" s="221" t="s">
        <v>150</v>
      </c>
      <c r="R45" s="233" t="str">
        <f>(IF(((SUM(R12:R42))=0),"-",(MAX(R12:R42))))</f>
        <v>-</v>
      </c>
      <c r="S45" s="234" t="str">
        <f>(IF(((SUM(S12:S42))=0),"-",(MAX(S12:S42))))</f>
        <v>-</v>
      </c>
      <c r="U45" s="222">
        <f>(IF((SUM(U12:U42))=0," ",(MAX(U12:U42))))</f>
        <v>7.2</v>
      </c>
      <c r="V45" s="183">
        <f>(IF((SUM(V12:V42))=0," ",(MAX(V12:V42))))</f>
        <v>7.1</v>
      </c>
      <c r="W45" s="223">
        <f>(IF((SUM(W12:W42))=0," ",(MAX(W12:W42))))</f>
        <v>6.8</v>
      </c>
      <c r="Y45" s="218">
        <f>(IF((SUM(Y12:Y42))=0," ",(MAX(Y12:Y42))))</f>
        <v>12</v>
      </c>
      <c r="Z45" s="162">
        <f>(IF((SUM(Z12:Z42))=0," ",(MAX(Z12:Z42))))</f>
        <v>11</v>
      </c>
      <c r="AA45" s="163">
        <f>(IF((SUM(AA12:AA42))=0," ",(MAX(AA12:AA42))))</f>
        <v>13</v>
      </c>
      <c r="AC45" s="222">
        <f>(IF((SUM(AC12:AC42))=0," ",(MAX(AC12:AC42))))</f>
        <v>17</v>
      </c>
      <c r="AD45" s="184">
        <f>(IF((SUM(AD12:AD42))=0," ",(MAX(AD12:AD42))))</f>
        <v>1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356</v>
      </c>
      <c r="AJ45" s="162">
        <f t="shared" si="9"/>
        <v>9385.13544</v>
      </c>
      <c r="AK45" s="218">
        <f t="shared" si="9"/>
        <v>163</v>
      </c>
      <c r="AL45" s="163">
        <f t="shared" si="9"/>
        <v>4074.19008</v>
      </c>
      <c r="AM45" s="218">
        <f t="shared" si="9"/>
        <v>21</v>
      </c>
      <c r="AN45" s="163">
        <f t="shared" si="9"/>
        <v>556.41978</v>
      </c>
      <c r="AO45" s="224">
        <f t="shared" si="9"/>
        <v>16</v>
      </c>
      <c r="AQ45" s="218">
        <f aca="true" t="shared" si="10" ref="AQ45:AV45">(IF((SUM(AQ12:AQ42))=0," ",(MAX(AQ12:AQ42))))</f>
        <v>272</v>
      </c>
      <c r="AR45" s="163">
        <f t="shared" si="10"/>
        <v>6735.11712</v>
      </c>
      <c r="AS45" s="218">
        <f t="shared" si="10"/>
        <v>86</v>
      </c>
      <c r="AT45" s="163">
        <f t="shared" si="10"/>
        <v>2125.89936</v>
      </c>
      <c r="AU45" s="218">
        <f t="shared" si="10"/>
        <v>34</v>
      </c>
      <c r="AV45" s="163">
        <f t="shared" si="10"/>
        <v>900.87012</v>
      </c>
      <c r="AX45" s="221" t="s">
        <v>150</v>
      </c>
      <c r="AY45" s="183">
        <f>(IF((SUM(AY12:AY42))=0," ",(MAX(AY12:AY42))))</f>
        <v>5</v>
      </c>
      <c r="AZ45" s="225" t="s">
        <v>150</v>
      </c>
      <c r="BA45" s="221" t="s">
        <v>150</v>
      </c>
      <c r="BB45" s="223">
        <f>(IF((SUM(BB12:BB42))=0," ",(MAX(BB12:BB42))))</f>
        <v>31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6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2.646</v>
      </c>
      <c r="E46" s="227">
        <f>(IF((SUM(E12:E42))=0," ",(MIN(E12:E42))))</f>
        <v>3.8</v>
      </c>
      <c r="F46" s="228">
        <f>(IF((SUM(F12:F42))=0," ",(MIN(F12:F42))))</f>
        <v>0.8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26</v>
      </c>
      <c r="M46" s="202">
        <f>(IF((SUM(M12:M42))=0," ",(MIN(M12:M42))))</f>
        <v>0</v>
      </c>
      <c r="O46" s="229" t="s">
        <v>150</v>
      </c>
      <c r="Q46" s="208" t="s">
        <v>150</v>
      </c>
      <c r="R46" s="204" t="str">
        <f>(IF(((SUM(R12:R42))=0),"-",(MIN(R12:R42))))</f>
        <v>-</v>
      </c>
      <c r="S46" s="205" t="str">
        <f>(IF(((SUM(S12:S42))=0),"-",(MIN(S12:S42))))</f>
        <v>-</v>
      </c>
      <c r="U46" s="230">
        <f>(IF((SUM(U12:U42))=0," ",(MIN(U12:U42))))</f>
        <v>6.6</v>
      </c>
      <c r="V46" s="192">
        <f>(IF((SUM(V12:V42))=0," ",(MIN(V12:V42))))</f>
        <v>6.3</v>
      </c>
      <c r="W46" s="212">
        <f>(IF((SUM(W12:W42))=0," ",(MIN(W12:W42))))</f>
        <v>5.8</v>
      </c>
      <c r="Y46" s="199">
        <f aca="true" t="shared" si="11" ref="Y46:AD46">(IF((SUM(Y12:Y42))=0," ",(MIN(Y12:Y42))))</f>
        <v>9</v>
      </c>
      <c r="Z46" s="189">
        <f t="shared" si="11"/>
        <v>8</v>
      </c>
      <c r="AA46" s="196">
        <f t="shared" si="11"/>
        <v>7</v>
      </c>
      <c r="AB46" t="str">
        <f t="shared" si="11"/>
        <v> </v>
      </c>
      <c r="AC46" s="230">
        <f t="shared" si="11"/>
        <v>2.5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147</v>
      </c>
      <c r="AJ46" s="189">
        <f t="shared" si="12"/>
        <v>4757.1359999999995</v>
      </c>
      <c r="AK46" s="199">
        <f t="shared" si="12"/>
        <v>106</v>
      </c>
      <c r="AL46" s="196">
        <f t="shared" si="12"/>
        <v>2794.45044</v>
      </c>
      <c r="AM46" s="199">
        <f t="shared" si="12"/>
        <v>11</v>
      </c>
      <c r="AN46" s="196">
        <f t="shared" si="12"/>
        <v>316.35288</v>
      </c>
      <c r="AO46" s="231">
        <f t="shared" si="12"/>
        <v>8</v>
      </c>
      <c r="AQ46" s="199">
        <f aca="true" t="shared" si="13" ref="AQ46:AV46">(IF((SUM(AQ12:AQ42))=0," ",(MIN(AQ12:AQ42))))</f>
        <v>122</v>
      </c>
      <c r="AR46" s="196">
        <f t="shared" si="13"/>
        <v>3966.13704</v>
      </c>
      <c r="AS46" s="199">
        <f t="shared" si="13"/>
        <v>57</v>
      </c>
      <c r="AT46" s="196">
        <f t="shared" si="13"/>
        <v>1502.67618</v>
      </c>
      <c r="AU46" s="199">
        <f t="shared" si="13"/>
        <v>15</v>
      </c>
      <c r="AV46" s="196">
        <f t="shared" si="13"/>
        <v>395.4411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28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32" t="s">
        <v>150</v>
      </c>
      <c r="BH46" s="214" t="s">
        <v>150</v>
      </c>
      <c r="BI46" s="215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3.2063999999999995</v>
      </c>
      <c r="E47" s="216">
        <f>(IF((SUM(E12:E42))=0," ",(AVERAGE(E12:E42))))</f>
        <v>4.77</v>
      </c>
      <c r="F47" s="217">
        <f>(IF((SUM(F12:F42))=0," ",(AVERAGE(F12:F42))))</f>
        <v>1.1866666666666672</v>
      </c>
      <c r="G47" s="216" t="str">
        <f>(IF((SUM(G12:G42))=0,"0.000",(AVERAGE(G12:G42))))</f>
        <v>0.000</v>
      </c>
      <c r="H47" s="162">
        <f>(IF((SUM(H12:H42))=0," ",(AVERAGE(H12:H42))))</f>
        <v>1755</v>
      </c>
      <c r="I47" s="163">
        <f>(IF((SUM(I12:I42))=0," ",(AVERAGE(I12:I42))))</f>
        <v>4366.666666666667</v>
      </c>
      <c r="K47" s="180" t="s">
        <v>150</v>
      </c>
      <c r="L47" s="183">
        <f>(IF((SUM(L12:L42))=0," ",(AVERAGE(L12:L42))))</f>
        <v>40.96666666666667</v>
      </c>
      <c r="M47" s="219">
        <f>(IF((SUM(M12:M42))=0," ",(AVERAGE(M12:M42))))</f>
        <v>0.09000000000000002</v>
      </c>
      <c r="O47" s="220" t="s">
        <v>150</v>
      </c>
      <c r="Q47" s="218" t="str">
        <f>(IF((SUM(Q12:Q42))=0," ",(AVERAGE(Q12:Q42))))</f>
        <v> </v>
      </c>
      <c r="R47" s="233" t="s">
        <v>150</v>
      </c>
      <c r="S47" s="234" t="s">
        <v>150</v>
      </c>
      <c r="U47" s="222">
        <f>(IF((SUM(U12:U42))=0," ",(AVERAGE(U12:U42))))</f>
        <v>6.933333333333335</v>
      </c>
      <c r="V47" s="183">
        <f>(IF((SUM(V12:V42))=0," ",(AVERAGE(V12:V42))))</f>
        <v>6.880000000000001</v>
      </c>
      <c r="W47" s="223">
        <f>(IF((SUM(W12:W42))=0," ",(AVERAGE(W12:W42))))</f>
        <v>6.3900000000000015</v>
      </c>
      <c r="Y47" s="218">
        <f>(IF((SUM(Y12:Y42))=0," ",(AVERAGE(Y12:Y42))))</f>
        <v>10.7</v>
      </c>
      <c r="Z47" s="162">
        <f>(IF((SUM(Z12:Z42))=0," ",(AVERAGE(Z12:Z42))))</f>
        <v>10.033333333333333</v>
      </c>
      <c r="AA47" s="163">
        <f>(IF((SUM(AA12:AA42))=0," ",(AVERAGE(AA12:AA42))))</f>
        <v>10.833333333333334</v>
      </c>
      <c r="AC47" s="222">
        <f>(IF((SUM(AC12:AC42))=0," ",(AVERAGE(AC12:AC42))))</f>
        <v>5.216666666666667</v>
      </c>
      <c r="AD47" s="184">
        <f>(IF((SUM(AD12:AD42))=0," ",(AVERAGE(AD12:AD42))))</f>
        <v>0.1469999999999999</v>
      </c>
      <c r="AE47" s="219">
        <f>(IF((COUNT(AE12:AE42))=0," ",(AVERAGE(AE12:AE42))))</f>
        <v>0.0013333333333333333</v>
      </c>
      <c r="AG47" s="26" t="str">
        <f>($A47)</f>
        <v>Average</v>
      </c>
      <c r="AI47" s="162">
        <f aca="true" t="shared" si="14" ref="AI47:AO47">(IF((SUM(AI12:AI42))=0," ",(AVERAGE(AI12:AI42))))</f>
        <v>226.30769230769232</v>
      </c>
      <c r="AJ47" s="162">
        <f t="shared" si="14"/>
        <v>5901.89658923077</v>
      </c>
      <c r="AK47" s="218">
        <f t="shared" si="14"/>
        <v>141</v>
      </c>
      <c r="AL47" s="163">
        <f t="shared" si="14"/>
        <v>3640.149375</v>
      </c>
      <c r="AM47" s="218">
        <f t="shared" si="14"/>
        <v>16.46153846153846</v>
      </c>
      <c r="AN47" s="163">
        <f t="shared" si="14"/>
        <v>431.5821692307692</v>
      </c>
      <c r="AO47" s="224">
        <f t="shared" si="14"/>
        <v>12.23076923076923</v>
      </c>
      <c r="AQ47" s="218">
        <f aca="true" t="shared" si="15" ref="AQ47:AV47">(IF((SUM(AQ12:AQ42))=0," ",(AVERAGE(AQ12:AQ42))))</f>
        <v>192.53846153846155</v>
      </c>
      <c r="AR47" s="163">
        <f t="shared" si="15"/>
        <v>5025.587127692308</v>
      </c>
      <c r="AS47" s="218">
        <f t="shared" si="15"/>
        <v>70.5</v>
      </c>
      <c r="AT47" s="163">
        <f t="shared" si="15"/>
        <v>1824.3103649999998</v>
      </c>
      <c r="AU47" s="218">
        <f t="shared" si="15"/>
        <v>22</v>
      </c>
      <c r="AV47" s="163">
        <f t="shared" si="15"/>
        <v>579.9020123076923</v>
      </c>
      <c r="AX47" s="218">
        <f aca="true" t="shared" si="16" ref="AX47:BE47">(IF((SUM(AX12:AX42))=0," ",(AVERAGE(AX12:AX42))))</f>
        <v>46746.125</v>
      </c>
      <c r="AY47" s="183">
        <f t="shared" si="16"/>
        <v>3.875</v>
      </c>
      <c r="AZ47" s="223">
        <f t="shared" si="16"/>
        <v>3</v>
      </c>
      <c r="BA47" s="218">
        <f t="shared" si="16"/>
        <v>29.0625</v>
      </c>
      <c r="BB47" s="223">
        <f t="shared" si="16"/>
        <v>29</v>
      </c>
      <c r="BC47" s="218">
        <f t="shared" si="16"/>
        <v>23.25</v>
      </c>
      <c r="BD47" s="162" t="str">
        <f t="shared" si="16"/>
        <v> </v>
      </c>
      <c r="BE47" s="219" t="str">
        <f t="shared" si="16"/>
        <v> </v>
      </c>
      <c r="BG47" s="133">
        <f>(IF((SUM(BG12:BG42))=0," ",(AVERAGE(BG12:BG42))))</f>
        <v>23.25</v>
      </c>
      <c r="BH47" s="181" t="s">
        <v>150</v>
      </c>
      <c r="BI47" s="182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42" t="str">
        <f>(IF(((SUM(S12:S42))=0),"-",(GEOMEAN(S12:S42))))</f>
        <v>-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92.68739865726756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88.57371154614462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4"/>
      <c r="C52" s="4"/>
      <c r="D52" s="4"/>
      <c r="E52" s="4"/>
      <c r="F52" s="4"/>
      <c r="G52" s="4"/>
      <c r="H52" s="4"/>
      <c r="I52" s="4"/>
      <c r="K52" s="4"/>
      <c r="L52" s="4"/>
      <c r="M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I52" s="4"/>
      <c r="AJ52" s="4"/>
      <c r="AK52" s="4"/>
      <c r="AL52" s="4"/>
      <c r="AM52" s="4"/>
      <c r="AN52" s="4"/>
      <c r="AO52" s="4"/>
      <c r="AQ52" s="4"/>
      <c r="AR52" s="4"/>
      <c r="AS52" s="4"/>
      <c r="AT52" s="4"/>
      <c r="AU52" s="4"/>
      <c r="AV52" s="4"/>
      <c r="AX52" s="4"/>
      <c r="AY52" s="4"/>
      <c r="AZ52" s="4"/>
      <c r="BA52" s="4"/>
      <c r="BB52" s="4"/>
      <c r="BC52" s="4"/>
      <c r="BD52" s="4"/>
      <c r="BE52" s="4"/>
      <c r="BG52" s="4"/>
      <c r="BH52" s="4"/>
      <c r="BI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P52" s="4"/>
    </row>
    <row r="53" spans="1:94" ht="18" customHeight="1">
      <c r="A53" s="4"/>
      <c r="C53" s="4"/>
      <c r="D53" s="4"/>
      <c r="E53" s="4"/>
      <c r="F53" s="4"/>
      <c r="G53" s="4"/>
      <c r="H53" s="4"/>
      <c r="I53" s="4"/>
      <c r="K53" s="4"/>
      <c r="L53" s="4"/>
      <c r="M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I53" s="4"/>
      <c r="AJ53" s="4"/>
      <c r="AK53" s="4"/>
      <c r="AL53" s="4"/>
      <c r="AM53" s="4"/>
      <c r="AN53" s="4"/>
      <c r="AO53" s="4"/>
      <c r="AQ53" s="4"/>
      <c r="AR53" s="4"/>
      <c r="AS53" s="4"/>
      <c r="AT53" s="4"/>
      <c r="AU53" s="4"/>
      <c r="AV53" s="4"/>
      <c r="AX53" s="4"/>
      <c r="AY53" s="4"/>
      <c r="AZ53" s="4"/>
      <c r="BA53" s="4"/>
      <c r="BB53" s="4"/>
      <c r="BC53" s="4"/>
      <c r="BD53" s="4"/>
      <c r="BE53" s="4"/>
      <c r="BG53" s="4"/>
      <c r="BH53" s="4"/>
      <c r="BI53" s="4"/>
      <c r="BK53" s="4"/>
      <c r="BL53" s="4"/>
      <c r="BN53" s="4"/>
      <c r="BP53" s="4"/>
      <c r="BT53" s="4"/>
      <c r="BY53" s="4"/>
      <c r="CC53" s="4"/>
      <c r="CP53" s="4"/>
    </row>
    <row r="54" spans="1:94" ht="18" customHeight="1">
      <c r="A54" s="4"/>
      <c r="C54" s="4"/>
      <c r="D54" s="4"/>
      <c r="E54" s="4"/>
      <c r="F54" s="4"/>
      <c r="G54" s="4"/>
      <c r="H54" s="4"/>
      <c r="I54" s="4"/>
      <c r="K54" s="4"/>
      <c r="L54" s="4"/>
      <c r="M54" s="4"/>
      <c r="O54" s="4"/>
      <c r="Q54" s="4"/>
      <c r="R54" s="4"/>
      <c r="S54" s="4"/>
      <c r="U54" s="4"/>
      <c r="V54" s="4"/>
      <c r="W54" s="4"/>
      <c r="Y54" s="4"/>
      <c r="Z54" s="4"/>
      <c r="AA54" s="4"/>
      <c r="AC54" s="4"/>
      <c r="AD54" s="4"/>
      <c r="AE54" s="4"/>
      <c r="AG54" s="4"/>
      <c r="AI54" s="4"/>
      <c r="AJ54" s="4"/>
      <c r="AK54" s="4"/>
      <c r="AL54" s="4"/>
      <c r="AM54" s="4"/>
      <c r="AN54" s="4"/>
      <c r="AO54" s="4"/>
      <c r="AQ54" s="4"/>
      <c r="AR54" s="4"/>
      <c r="AS54" s="4"/>
      <c r="AT54" s="4"/>
      <c r="AU54" s="4"/>
      <c r="AV54" s="4"/>
      <c r="AX54" s="4"/>
      <c r="AY54" s="4"/>
      <c r="AZ54" s="4"/>
      <c r="BA54" s="4"/>
      <c r="BB54" s="4"/>
      <c r="BC54" s="4"/>
      <c r="BD54" s="4"/>
      <c r="BE54" s="4"/>
      <c r="BG54" s="4"/>
      <c r="BH54" s="4"/>
      <c r="BI54" s="4"/>
      <c r="BK54" s="4"/>
      <c r="BL54" s="4"/>
      <c r="BN54" s="4"/>
      <c r="BP54" s="4"/>
      <c r="BT54" s="4"/>
      <c r="BY54" s="4"/>
      <c r="CC54" s="4"/>
      <c r="CP54" s="4"/>
    </row>
    <row r="55" spans="1:94" ht="18" customHeight="1">
      <c r="A55" s="3"/>
      <c r="C55" s="3"/>
      <c r="D55" s="3"/>
      <c r="E55" s="3"/>
      <c r="F55" s="3"/>
      <c r="G55" s="3"/>
      <c r="H55" s="3"/>
      <c r="I55" s="3"/>
      <c r="K55" s="3"/>
      <c r="L55" s="3"/>
      <c r="M55" s="3"/>
      <c r="O55" s="3"/>
      <c r="Q55" s="3"/>
      <c r="R55" s="3"/>
      <c r="S55" s="3"/>
      <c r="U55" s="3"/>
      <c r="V55" s="3"/>
      <c r="W55" s="3"/>
      <c r="Y55" s="3"/>
      <c r="Z55" s="3"/>
      <c r="AA55" s="3"/>
      <c r="AC55" s="3"/>
      <c r="AD55" s="3"/>
      <c r="AE55" s="3"/>
      <c r="AG55" s="4"/>
      <c r="AI55" s="4"/>
      <c r="AJ55" s="4"/>
      <c r="AK55" s="4"/>
      <c r="AL55" s="4"/>
      <c r="AM55" s="4"/>
      <c r="AN55" s="4"/>
      <c r="AO55" s="4"/>
      <c r="AQ55" s="4"/>
      <c r="AR55" s="4"/>
      <c r="AS55" s="4"/>
      <c r="AT55" s="4"/>
      <c r="AU55" s="4"/>
      <c r="AV55" s="4"/>
      <c r="AX55" s="4"/>
      <c r="AY55" s="4"/>
      <c r="AZ55" s="4"/>
      <c r="BA55" s="4"/>
      <c r="BB55" s="4"/>
      <c r="BC55" s="4"/>
      <c r="BD55" s="4"/>
      <c r="BE55" s="4"/>
      <c r="BG55" s="4"/>
      <c r="BH55" s="4"/>
      <c r="BI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P55" s="4"/>
    </row>
    <row r="56" spans="1:94" ht="18" customHeight="1">
      <c r="A56" s="3"/>
      <c r="C56" s="3"/>
      <c r="D56" s="3"/>
      <c r="E56" s="3"/>
      <c r="F56" s="3"/>
      <c r="G56" s="3"/>
      <c r="H56" s="3"/>
      <c r="I56" s="3"/>
      <c r="K56" s="3"/>
      <c r="L56" s="3"/>
      <c r="M56" s="3"/>
      <c r="O56" s="3"/>
      <c r="Q56" s="3"/>
      <c r="R56" s="3"/>
      <c r="S56" s="3"/>
      <c r="U56" s="3"/>
      <c r="V56" s="3"/>
      <c r="W56" s="3"/>
      <c r="Y56" s="3"/>
      <c r="Z56" s="3"/>
      <c r="AA56" s="3"/>
      <c r="AC56" s="3"/>
      <c r="AD56" s="3"/>
      <c r="AE56" s="3"/>
      <c r="AG56" s="4"/>
      <c r="AI56" s="4"/>
      <c r="AJ56" s="4"/>
      <c r="AK56" s="4"/>
      <c r="AL56" s="4"/>
      <c r="AM56" s="4"/>
      <c r="AN56" s="4"/>
      <c r="AO56" s="4"/>
      <c r="AQ56" s="4"/>
      <c r="AR56" s="4"/>
      <c r="AS56" s="4"/>
      <c r="AT56" s="4"/>
      <c r="AU56" s="4"/>
      <c r="AV56" s="4"/>
      <c r="AX56" s="4"/>
      <c r="AY56" s="4"/>
      <c r="AZ56" s="4"/>
      <c r="BA56" s="4"/>
      <c r="BB56" s="4"/>
      <c r="BC56" s="4"/>
      <c r="BD56" s="4"/>
      <c r="BE56" s="4"/>
      <c r="BG56" s="4"/>
      <c r="BH56" s="4"/>
      <c r="BI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P56" s="4"/>
    </row>
    <row r="57" spans="1:94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P57" s="4"/>
    </row>
    <row r="58" spans="1:94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P58" s="4"/>
    </row>
    <row r="59" spans="1:94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 password="CCAE" sheet="1" objects="1" scenarios="1"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0" man="1"/>
    <brk id="62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194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May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May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1">
        <v>1812640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5">
        <v>1815525</v>
      </c>
      <c r="D12" s="138">
        <f aca="true" t="shared" si="0" ref="D12:D42">(IF(C12=0," ",((C12-C11)/1000)))</f>
        <v>2.885</v>
      </c>
      <c r="E12" s="140">
        <v>4.6</v>
      </c>
      <c r="F12" s="141">
        <v>1.2</v>
      </c>
      <c r="G12" s="81" t="str">
        <f>(IF(C12=0," ","0.00"))</f>
        <v>0.00</v>
      </c>
      <c r="H12" s="85">
        <v>0</v>
      </c>
      <c r="I12" s="86">
        <v>8750</v>
      </c>
      <c r="K12" s="87" t="s">
        <v>208</v>
      </c>
      <c r="L12" s="85">
        <v>46</v>
      </c>
      <c r="M12" s="88">
        <v>0.04</v>
      </c>
      <c r="O12" s="89"/>
      <c r="Q12" s="335" t="s">
        <v>191</v>
      </c>
      <c r="R12" s="335" t="s">
        <v>191</v>
      </c>
      <c r="S12" s="335" t="s">
        <v>191</v>
      </c>
      <c r="U12" s="93">
        <v>7.1</v>
      </c>
      <c r="V12" s="94">
        <v>6.8</v>
      </c>
      <c r="W12" s="95">
        <v>6.3</v>
      </c>
      <c r="Y12" s="90">
        <v>12</v>
      </c>
      <c r="Z12" s="96">
        <v>12</v>
      </c>
      <c r="AA12" s="92">
        <v>12</v>
      </c>
      <c r="AC12" s="93">
        <v>6.5</v>
      </c>
      <c r="AD12" s="91">
        <v>0.3</v>
      </c>
      <c r="AE12" s="97">
        <v>0</v>
      </c>
      <c r="AG12" s="45">
        <f aca="true" t="shared" si="1" ref="AG12:AG42">($A12)</f>
        <v>1</v>
      </c>
      <c r="AI12" s="98">
        <v>197</v>
      </c>
      <c r="AJ12" s="55">
        <f aca="true" t="shared" si="2" ref="AJ12:AJ42">IF(AI12=0,"",(D12*AI12*8.34))</f>
        <v>4739.997299999999</v>
      </c>
      <c r="AK12" s="98"/>
      <c r="AL12" s="55">
        <f aca="true" t="shared" si="3" ref="AL12:AL42">IF(AK12=0,"",(D12*AK12*8.34))</f>
      </c>
      <c r="AM12" s="98">
        <v>16</v>
      </c>
      <c r="AN12" s="55">
        <f aca="true" t="shared" si="4" ref="AN12:AN42">IF(AM12=0,"",(D12*AM12*8.34))</f>
        <v>384.97439999999995</v>
      </c>
      <c r="AO12" s="99">
        <v>11</v>
      </c>
      <c r="AQ12" s="100">
        <v>232</v>
      </c>
      <c r="AR12" s="55">
        <f aca="true" t="shared" si="5" ref="AR12:AR42">IF(AQ12=0,"",(D12*AQ12*8.34))</f>
        <v>5582.1287999999995</v>
      </c>
      <c r="AS12" s="98"/>
      <c r="AT12" s="55">
        <f aca="true" t="shared" si="6" ref="AT12:AT42">IF(AS12=0,"",(D12*AS12*8.34))</f>
      </c>
      <c r="AU12" s="98">
        <v>25</v>
      </c>
      <c r="AV12" s="55">
        <f aca="true" t="shared" si="7" ref="AV12:AV42">IF(AU12=0,"",(D12*AU12*8.34))</f>
        <v>601.5225</v>
      </c>
      <c r="AX12" s="100">
        <v>48565</v>
      </c>
      <c r="AY12" s="101">
        <v>4</v>
      </c>
      <c r="AZ12" s="102">
        <v>5.5</v>
      </c>
      <c r="BA12" s="98">
        <v>31</v>
      </c>
      <c r="BB12" s="102">
        <v>27</v>
      </c>
      <c r="BC12" s="98">
        <v>22</v>
      </c>
      <c r="BD12" s="98"/>
      <c r="BE12" s="103"/>
      <c r="BG12" s="100">
        <v>22</v>
      </c>
      <c r="BH12" s="84" t="s">
        <v>212</v>
      </c>
      <c r="BI12" s="104" t="s">
        <v>211</v>
      </c>
      <c r="BK12" s="17"/>
      <c r="BL12" s="19"/>
      <c r="BM12" s="56" t="s">
        <v>117</v>
      </c>
      <c r="BN12" s="20"/>
      <c r="BO12" s="57" t="s">
        <v>130</v>
      </c>
      <c r="BP12" s="26"/>
      <c r="BQ12" s="150">
        <f>(IF(((SUM(AN12:AN42))=0)," ",(AVERAGE(AN12:AN42))))</f>
        <v>336.15859285714293</v>
      </c>
      <c r="BR12" s="150">
        <f>MAX(AN12:AN42)</f>
        <v>434.14703999999995</v>
      </c>
      <c r="BS12" s="105" t="s">
        <v>126</v>
      </c>
      <c r="BT12" s="105"/>
      <c r="BU12" s="150">
        <f>(IF(((SUM(AM12:AM42))=0)," ",(AVERAGE(AM12:AM42))))</f>
        <v>14.928571428571429</v>
      </c>
      <c r="BV12" s="144">
        <f>(CG23)</f>
        <v>17</v>
      </c>
      <c r="BW12" s="150">
        <f>MAX(AM12:AM42)</f>
        <v>18</v>
      </c>
      <c r="BX12" s="105" t="s">
        <v>128</v>
      </c>
      <c r="BY12" s="105"/>
      <c r="BZ12" s="105">
        <v>0</v>
      </c>
      <c r="CA12" s="145" t="s">
        <v>47</v>
      </c>
      <c r="CB12" s="105">
        <v>24</v>
      </c>
      <c r="CC12" s="137"/>
      <c r="CE12" s="24"/>
      <c r="CF12" s="20" t="s">
        <v>138</v>
      </c>
      <c r="CG12" s="106">
        <v>17</v>
      </c>
      <c r="CH12" s="106">
        <v>413</v>
      </c>
      <c r="CI12" s="106"/>
      <c r="CJ12" s="106">
        <v>22</v>
      </c>
      <c r="CK12" s="106">
        <v>543</v>
      </c>
      <c r="CL12" s="240"/>
      <c r="CM12" s="152">
        <f>(AVERAGE(AE12:AE16))</f>
        <v>0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5">
        <v>1818417</v>
      </c>
      <c r="D13" s="138">
        <f t="shared" si="0"/>
        <v>2.892</v>
      </c>
      <c r="E13" s="140">
        <v>4.6</v>
      </c>
      <c r="F13" s="141">
        <v>0.8</v>
      </c>
      <c r="G13" s="81" t="str">
        <f aca="true" t="shared" si="8" ref="G13:G42">(IF(C13=0," ","0.00"))</f>
        <v>0.00</v>
      </c>
      <c r="H13" s="85">
        <v>6000</v>
      </c>
      <c r="I13" s="86">
        <v>9750</v>
      </c>
      <c r="K13" s="87" t="s">
        <v>213</v>
      </c>
      <c r="L13" s="85">
        <v>48.9</v>
      </c>
      <c r="M13" s="88">
        <v>0.16</v>
      </c>
      <c r="O13" s="107"/>
      <c r="Q13" s="335"/>
      <c r="R13" s="335"/>
      <c r="S13" s="335"/>
      <c r="U13" s="93">
        <v>7.1</v>
      </c>
      <c r="V13" s="94">
        <v>7</v>
      </c>
      <c r="W13" s="95">
        <v>6.3</v>
      </c>
      <c r="Y13" s="90">
        <v>12</v>
      </c>
      <c r="Z13" s="96">
        <v>11</v>
      </c>
      <c r="AA13" s="92">
        <v>13</v>
      </c>
      <c r="AC13" s="93">
        <v>6.5</v>
      </c>
      <c r="AD13" s="91">
        <v>0.1</v>
      </c>
      <c r="AE13" s="97">
        <v>0</v>
      </c>
      <c r="AG13" s="45">
        <f t="shared" si="1"/>
        <v>2</v>
      </c>
      <c r="AI13" s="98">
        <v>223</v>
      </c>
      <c r="AJ13" s="55">
        <f t="shared" si="2"/>
        <v>5378.599439999999</v>
      </c>
      <c r="AK13" s="98">
        <v>157</v>
      </c>
      <c r="AL13" s="55">
        <f t="shared" si="3"/>
        <v>3786.72696</v>
      </c>
      <c r="AM13" s="98">
        <v>18</v>
      </c>
      <c r="AN13" s="55">
        <f t="shared" si="4"/>
        <v>434.14703999999995</v>
      </c>
      <c r="AO13" s="110">
        <v>11</v>
      </c>
      <c r="AQ13" s="100">
        <v>192</v>
      </c>
      <c r="AR13" s="55">
        <f t="shared" si="5"/>
        <v>4630.90176</v>
      </c>
      <c r="AS13" s="98">
        <v>72</v>
      </c>
      <c r="AT13" s="55">
        <f t="shared" si="6"/>
        <v>1736.5881599999998</v>
      </c>
      <c r="AU13" s="98">
        <v>22</v>
      </c>
      <c r="AV13" s="55">
        <f t="shared" si="7"/>
        <v>530.62416</v>
      </c>
      <c r="AX13" s="100"/>
      <c r="AY13" s="101"/>
      <c r="AZ13" s="102"/>
      <c r="BA13" s="98"/>
      <c r="BB13" s="102"/>
      <c r="BC13" s="98"/>
      <c r="BD13" s="98"/>
      <c r="BE13" s="103"/>
      <c r="BG13" s="100"/>
      <c r="BH13" s="84"/>
      <c r="BI13" s="104"/>
      <c r="BK13" s="17"/>
      <c r="BL13" s="19"/>
      <c r="BM13" s="26" t="s">
        <v>86</v>
      </c>
      <c r="BN13" s="20"/>
      <c r="BO13" s="154" t="s">
        <v>131</v>
      </c>
      <c r="BP13" s="26"/>
      <c r="BQ13" s="237">
        <v>963</v>
      </c>
      <c r="BR13" s="237">
        <v>1605</v>
      </c>
      <c r="BS13" s="156" t="s">
        <v>126</v>
      </c>
      <c r="BT13" s="105"/>
      <c r="BU13" s="237">
        <v>30</v>
      </c>
      <c r="BV13" s="157">
        <v>45</v>
      </c>
      <c r="BW13" s="237">
        <v>50</v>
      </c>
      <c r="BX13" s="156" t="s">
        <v>128</v>
      </c>
      <c r="BY13" s="105"/>
      <c r="BZ13" s="238" t="s">
        <v>150</v>
      </c>
      <c r="CA13" s="158" t="s">
        <v>47</v>
      </c>
      <c r="CB13" s="156">
        <v>24</v>
      </c>
      <c r="CC13" s="137"/>
      <c r="CE13" s="24"/>
      <c r="CF13" s="20"/>
      <c r="CG13" s="106"/>
      <c r="CH13" s="106"/>
      <c r="CI13" s="106"/>
      <c r="CJ13" s="106"/>
      <c r="CK13" s="106"/>
      <c r="CL13" s="240"/>
      <c r="CM13" s="152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5">
        <v>1821249</v>
      </c>
      <c r="D14" s="138">
        <f t="shared" si="0"/>
        <v>2.832</v>
      </c>
      <c r="E14" s="140">
        <v>4.6</v>
      </c>
      <c r="F14" s="141">
        <v>0.8</v>
      </c>
      <c r="G14" s="81" t="str">
        <f t="shared" si="8"/>
        <v>0.00</v>
      </c>
      <c r="H14" s="85">
        <v>0</v>
      </c>
      <c r="I14" s="86">
        <v>3500</v>
      </c>
      <c r="K14" s="87" t="s">
        <v>210</v>
      </c>
      <c r="L14" s="85">
        <v>50</v>
      </c>
      <c r="M14" s="88">
        <v>0.02</v>
      </c>
      <c r="O14" s="107"/>
      <c r="Q14" s="335"/>
      <c r="R14" s="335"/>
      <c r="S14" s="335"/>
      <c r="U14" s="93">
        <v>7.1</v>
      </c>
      <c r="V14" s="94">
        <v>6.8</v>
      </c>
      <c r="W14" s="95">
        <v>6.2</v>
      </c>
      <c r="Y14" s="90">
        <v>11</v>
      </c>
      <c r="Z14" s="96">
        <v>11</v>
      </c>
      <c r="AA14" s="92">
        <v>12</v>
      </c>
      <c r="AC14" s="93">
        <v>9</v>
      </c>
      <c r="AD14" s="91">
        <v>0.01</v>
      </c>
      <c r="AE14" s="97">
        <v>0</v>
      </c>
      <c r="AG14" s="45">
        <f t="shared" si="1"/>
        <v>3</v>
      </c>
      <c r="AI14" s="98"/>
      <c r="AJ14" s="55">
        <f t="shared" si="2"/>
      </c>
      <c r="AK14" s="98"/>
      <c r="AL14" s="55">
        <f t="shared" si="3"/>
      </c>
      <c r="AM14" s="98"/>
      <c r="AN14" s="55">
        <f t="shared" si="4"/>
      </c>
      <c r="AO14" s="110"/>
      <c r="AQ14" s="100"/>
      <c r="AR14" s="55">
        <f t="shared" si="5"/>
      </c>
      <c r="AS14" s="98"/>
      <c r="AT14" s="55">
        <f t="shared" si="6"/>
      </c>
      <c r="AU14" s="98"/>
      <c r="AV14" s="55">
        <f t="shared" si="7"/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(IF(((SUM(AM18:AM20))=0)," ",(AVERAGE(AM18:AM20))))</f>
        <v>13.666666666666666</v>
      </c>
      <c r="CH14" s="106">
        <f>(IF(((SUM(AN18:AN20))=0)," ",(AVERAGE(AN18:AN20))))</f>
        <v>306.05298</v>
      </c>
      <c r="CI14" s="106"/>
      <c r="CJ14" s="106">
        <f>(IF(((SUM(AU18:AU20))=0)," ",(AVERAGE(AU18:AU20))))</f>
        <v>21.333333333333332</v>
      </c>
      <c r="CK14" s="106">
        <f>(IF(((SUM(AV18:AV20))=0)," ",(AVERAGE(AV18:AV20))))</f>
        <v>477.43163999999996</v>
      </c>
      <c r="CL14" s="240"/>
      <c r="CM14" s="152">
        <f>(AVERAGE(AE17:AE23))</f>
        <v>0.0014285714285714286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5">
        <v>1824090</v>
      </c>
      <c r="D15" s="138">
        <f t="shared" si="0"/>
        <v>2.841</v>
      </c>
      <c r="E15" s="140">
        <v>4.6</v>
      </c>
      <c r="F15" s="141">
        <v>0.8</v>
      </c>
      <c r="G15" s="81" t="str">
        <f t="shared" si="8"/>
        <v>0.00</v>
      </c>
      <c r="H15" s="85">
        <v>0</v>
      </c>
      <c r="I15" s="86">
        <v>3500</v>
      </c>
      <c r="K15" s="87" t="s">
        <v>210</v>
      </c>
      <c r="L15" s="85">
        <v>48</v>
      </c>
      <c r="M15" s="88">
        <v>0</v>
      </c>
      <c r="O15" s="107"/>
      <c r="Q15" s="335"/>
      <c r="R15" s="335"/>
      <c r="S15" s="335"/>
      <c r="U15" s="93">
        <v>7</v>
      </c>
      <c r="V15" s="94">
        <v>6.9</v>
      </c>
      <c r="W15" s="95">
        <v>6.1</v>
      </c>
      <c r="Y15" s="90">
        <v>11</v>
      </c>
      <c r="Z15" s="96">
        <v>11</v>
      </c>
      <c r="AA15" s="92">
        <v>13</v>
      </c>
      <c r="AC15" s="93">
        <v>5</v>
      </c>
      <c r="AD15" s="91">
        <v>0.01</v>
      </c>
      <c r="AE15" s="97">
        <v>0</v>
      </c>
      <c r="AG15" s="45">
        <f t="shared" si="1"/>
        <v>4</v>
      </c>
      <c r="AI15" s="98"/>
      <c r="AJ15" s="55">
        <f t="shared" si="2"/>
      </c>
      <c r="AK15" s="98"/>
      <c r="AL15" s="55">
        <f t="shared" si="3"/>
      </c>
      <c r="AM15" s="98"/>
      <c r="AN15" s="55">
        <f t="shared" si="4"/>
      </c>
      <c r="AO15" s="110"/>
      <c r="AQ15" s="100"/>
      <c r="AR15" s="55">
        <f t="shared" si="5"/>
      </c>
      <c r="AS15" s="98"/>
      <c r="AT15" s="55">
        <f t="shared" si="6"/>
      </c>
      <c r="AU15" s="98"/>
      <c r="AV15" s="55">
        <f t="shared" si="7"/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106"/>
      <c r="CH15" s="106"/>
      <c r="CI15" s="106"/>
      <c r="CJ15" s="106"/>
      <c r="CK15" s="106"/>
      <c r="CL15" s="240"/>
      <c r="CM15" s="152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3">
        <v>1826616</v>
      </c>
      <c r="D16" s="139">
        <f t="shared" si="0"/>
        <v>2.526</v>
      </c>
      <c r="E16" s="142">
        <v>4.6</v>
      </c>
      <c r="F16" s="143">
        <v>0.8</v>
      </c>
      <c r="G16" s="184" t="str">
        <f t="shared" si="8"/>
        <v>0.00</v>
      </c>
      <c r="H16" s="113">
        <v>5200</v>
      </c>
      <c r="I16" s="114">
        <v>6000</v>
      </c>
      <c r="K16" s="115" t="s">
        <v>210</v>
      </c>
      <c r="L16" s="113">
        <v>50</v>
      </c>
      <c r="M16" s="116">
        <v>0</v>
      </c>
      <c r="O16" s="117"/>
      <c r="Q16" s="335"/>
      <c r="R16" s="335"/>
      <c r="S16" s="335"/>
      <c r="U16" s="118">
        <v>7.1</v>
      </c>
      <c r="V16" s="119">
        <v>7</v>
      </c>
      <c r="W16" s="120">
        <v>6.4</v>
      </c>
      <c r="Y16" s="121">
        <v>12</v>
      </c>
      <c r="Z16" s="122">
        <v>12</v>
      </c>
      <c r="AA16" s="123">
        <v>12</v>
      </c>
      <c r="AC16" s="118">
        <v>5.5</v>
      </c>
      <c r="AD16" s="124">
        <v>0.1</v>
      </c>
      <c r="AE16" s="125">
        <v>0</v>
      </c>
      <c r="AG16" s="45">
        <f t="shared" si="1"/>
        <v>5</v>
      </c>
      <c r="AI16" s="126"/>
      <c r="AJ16" s="65">
        <f t="shared" si="2"/>
      </c>
      <c r="AK16" s="126"/>
      <c r="AL16" s="65">
        <f t="shared" si="3"/>
      </c>
      <c r="AM16" s="126"/>
      <c r="AN16" s="65">
        <f t="shared" si="4"/>
      </c>
      <c r="AO16" s="127"/>
      <c r="AQ16" s="128"/>
      <c r="AR16" s="65">
        <f t="shared" si="5"/>
      </c>
      <c r="AS16" s="126"/>
      <c r="AT16" s="65">
        <f t="shared" si="6"/>
      </c>
      <c r="AU16" s="126"/>
      <c r="AV16" s="65">
        <f t="shared" si="7"/>
      </c>
      <c r="AX16" s="128">
        <v>51368</v>
      </c>
      <c r="AY16" s="129">
        <v>2</v>
      </c>
      <c r="AZ16" s="130">
        <v>3.5</v>
      </c>
      <c r="BA16" s="126">
        <v>34.1</v>
      </c>
      <c r="BB16" s="130">
        <v>28</v>
      </c>
      <c r="BC16" s="126">
        <v>24</v>
      </c>
      <c r="BD16" s="126"/>
      <c r="BE16" s="131"/>
      <c r="BG16" s="128">
        <v>24</v>
      </c>
      <c r="BH16" s="111" t="s">
        <v>212</v>
      </c>
      <c r="BI16" s="132" t="s">
        <v>211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(IF(((SUM(AM25:AM27))=0)," ",(AVERAGE(AM25:AM27))))</f>
        <v>15</v>
      </c>
      <c r="CH16" s="106">
        <f>(IF(((SUM(AN25:AN27))=0)," ",(AVERAGE(AN25:AN27))))</f>
        <v>333.12462</v>
      </c>
      <c r="CI16" s="106"/>
      <c r="CJ16" s="106">
        <f>(IF(((SUM(AU25:AU27))=0)," ",(AVERAGE(AU25:AU27))))</f>
        <v>22</v>
      </c>
      <c r="CK16" s="106">
        <f>(IF(((SUM(AV25:AV27))=0)," ",(AVERAGE(AV25:AV27))))</f>
        <v>488.8213</v>
      </c>
      <c r="CL16" s="240"/>
      <c r="CM16" s="152">
        <f>(AVERAGE(AE24:AE30))</f>
        <v>0.004285714285714286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5">
        <v>1829338</v>
      </c>
      <c r="D17" s="138">
        <f t="shared" si="0"/>
        <v>2.722</v>
      </c>
      <c r="E17" s="140">
        <v>4.4</v>
      </c>
      <c r="F17" s="141">
        <v>0.8</v>
      </c>
      <c r="G17" s="81" t="str">
        <f t="shared" si="8"/>
        <v>0.00</v>
      </c>
      <c r="H17" s="85">
        <v>5200</v>
      </c>
      <c r="I17" s="86">
        <v>10000</v>
      </c>
      <c r="K17" s="87" t="s">
        <v>208</v>
      </c>
      <c r="L17" s="85">
        <v>48</v>
      </c>
      <c r="M17" s="88">
        <v>0.12</v>
      </c>
      <c r="O17" s="107"/>
      <c r="Q17" s="335"/>
      <c r="R17" s="335"/>
      <c r="S17" s="335"/>
      <c r="U17" s="93">
        <v>7.2</v>
      </c>
      <c r="V17" s="94">
        <v>7.1</v>
      </c>
      <c r="W17" s="95">
        <v>6.3</v>
      </c>
      <c r="Y17" s="90">
        <v>12</v>
      </c>
      <c r="Z17" s="96">
        <v>11</v>
      </c>
      <c r="AA17" s="92">
        <v>13</v>
      </c>
      <c r="AC17" s="93">
        <v>8</v>
      </c>
      <c r="AD17" s="91">
        <v>0.1</v>
      </c>
      <c r="AE17" s="97">
        <v>0</v>
      </c>
      <c r="AG17" s="45">
        <f t="shared" si="1"/>
        <v>6</v>
      </c>
      <c r="AI17" s="98"/>
      <c r="AJ17" s="55">
        <f t="shared" si="2"/>
      </c>
      <c r="AK17" s="98"/>
      <c r="AL17" s="55">
        <f t="shared" si="3"/>
      </c>
      <c r="AM17" s="98"/>
      <c r="AN17" s="55">
        <f t="shared" si="4"/>
      </c>
      <c r="AO17" s="110"/>
      <c r="AQ17" s="100"/>
      <c r="AR17" s="55">
        <f t="shared" si="5"/>
      </c>
      <c r="AS17" s="98"/>
      <c r="AT17" s="55">
        <f t="shared" si="6"/>
      </c>
      <c r="AU17" s="98"/>
      <c r="AV17" s="55">
        <f t="shared" si="7"/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39" t="s">
        <v>150</v>
      </c>
      <c r="BR17" s="239" t="s">
        <v>150</v>
      </c>
      <c r="BS17" s="239" t="s">
        <v>150</v>
      </c>
      <c r="BT17" s="105"/>
      <c r="BU17" s="146">
        <f>MIN(W12:W42)</f>
        <v>6.1</v>
      </c>
      <c r="BV17" s="239" t="s">
        <v>150</v>
      </c>
      <c r="BW17" s="146">
        <f>MAX(W12:W42)</f>
        <v>6.5</v>
      </c>
      <c r="BX17" s="105" t="s">
        <v>43</v>
      </c>
      <c r="BY17" s="105"/>
      <c r="BZ17" s="105">
        <v>0</v>
      </c>
      <c r="CA17" s="145" t="s">
        <v>48</v>
      </c>
      <c r="CB17" s="105" t="s">
        <v>23</v>
      </c>
      <c r="CC17" s="137"/>
      <c r="CE17" s="69"/>
      <c r="CF17" s="20"/>
      <c r="CG17" s="106"/>
      <c r="CH17" s="106"/>
      <c r="CI17" s="106"/>
      <c r="CJ17" s="106"/>
      <c r="CK17" s="106"/>
      <c r="CL17" s="241"/>
      <c r="CM17" s="152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5">
        <v>1832073</v>
      </c>
      <c r="D18" s="138">
        <f t="shared" si="0"/>
        <v>2.735</v>
      </c>
      <c r="E18" s="140">
        <v>3.8</v>
      </c>
      <c r="F18" s="141">
        <v>0.8</v>
      </c>
      <c r="G18" s="81" t="str">
        <f t="shared" si="8"/>
        <v>0.00</v>
      </c>
      <c r="H18" s="85">
        <v>2500</v>
      </c>
      <c r="I18" s="86">
        <v>10000</v>
      </c>
      <c r="K18" s="87" t="s">
        <v>208</v>
      </c>
      <c r="L18" s="85">
        <v>55</v>
      </c>
      <c r="M18" s="88">
        <v>0.01</v>
      </c>
      <c r="O18" s="107"/>
      <c r="Q18" s="335"/>
      <c r="R18" s="335"/>
      <c r="S18" s="335"/>
      <c r="U18" s="93">
        <v>7.1</v>
      </c>
      <c r="V18" s="94">
        <v>6.9</v>
      </c>
      <c r="W18" s="95">
        <v>6.1</v>
      </c>
      <c r="Y18" s="90">
        <v>12</v>
      </c>
      <c r="Z18" s="96">
        <v>12</v>
      </c>
      <c r="AA18" s="92">
        <v>13</v>
      </c>
      <c r="AC18" s="93">
        <v>5</v>
      </c>
      <c r="AD18" s="91">
        <v>0.1</v>
      </c>
      <c r="AE18" s="97">
        <v>0</v>
      </c>
      <c r="AG18" s="45">
        <f t="shared" si="1"/>
        <v>7</v>
      </c>
      <c r="AH18" t="s">
        <v>201</v>
      </c>
      <c r="AI18" s="98"/>
      <c r="AJ18" s="55">
        <f t="shared" si="2"/>
      </c>
      <c r="AK18" s="98"/>
      <c r="AL18" s="55">
        <f t="shared" si="3"/>
      </c>
      <c r="AM18" s="98">
        <v>14</v>
      </c>
      <c r="AN18" s="55">
        <f t="shared" si="4"/>
        <v>319.3386</v>
      </c>
      <c r="AO18" s="110">
        <v>10</v>
      </c>
      <c r="AQ18" s="100"/>
      <c r="AR18" s="55">
        <f t="shared" si="5"/>
      </c>
      <c r="AS18" s="98"/>
      <c r="AT18" s="55">
        <f t="shared" si="6"/>
      </c>
      <c r="AU18" s="98">
        <v>22</v>
      </c>
      <c r="AV18" s="55">
        <f t="shared" si="7"/>
        <v>501.8177999999999</v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38" t="s">
        <v>150</v>
      </c>
      <c r="BR18" s="238" t="s">
        <v>150</v>
      </c>
      <c r="BS18" s="238" t="s">
        <v>150</v>
      </c>
      <c r="BT18" s="105"/>
      <c r="BU18" s="159">
        <v>6</v>
      </c>
      <c r="BV18" s="238" t="s">
        <v>150</v>
      </c>
      <c r="BW18" s="156">
        <v>8.5</v>
      </c>
      <c r="BX18" s="156" t="s">
        <v>43</v>
      </c>
      <c r="BY18" s="105"/>
      <c r="BZ18" s="238" t="s">
        <v>150</v>
      </c>
      <c r="CA18" s="158" t="s">
        <v>48</v>
      </c>
      <c r="CB18" s="156" t="s">
        <v>23</v>
      </c>
      <c r="CC18" s="137"/>
      <c r="CE18" s="69"/>
      <c r="CF18" s="20" t="s">
        <v>141</v>
      </c>
      <c r="CG18" s="106">
        <f>(IF(((SUM(AM32:AM34))=0)," ",(AVERAGE(AM32:AM34))))</f>
        <v>14.333333333333334</v>
      </c>
      <c r="CH18" s="106">
        <f>(IF(((SUM(AN32:AN34))=0)," ",(AVERAGE(AN32:AN34))))</f>
        <v>309.17492</v>
      </c>
      <c r="CI18" s="106"/>
      <c r="CJ18" s="106">
        <f>(IF(((SUM(AU32:AU34))=0)," ",(AVERAGE(AU32:AU34))))</f>
        <v>25</v>
      </c>
      <c r="CK18" s="106">
        <f>(IF(((SUM(AV32:AV34))=0)," ",(AVERAGE(AV32:AV34))))</f>
        <v>539.38116</v>
      </c>
      <c r="CL18" s="241"/>
      <c r="CM18" s="152">
        <f>(AVERAGE(AE31:AE37))</f>
        <v>0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5">
        <v>1834752</v>
      </c>
      <c r="D19" s="138">
        <f t="shared" si="0"/>
        <v>2.679</v>
      </c>
      <c r="E19" s="140">
        <v>4</v>
      </c>
      <c r="F19" s="141">
        <v>0.8</v>
      </c>
      <c r="G19" s="81" t="str">
        <f t="shared" si="8"/>
        <v>0.00</v>
      </c>
      <c r="H19" s="85">
        <v>0</v>
      </c>
      <c r="I19" s="86">
        <v>9500</v>
      </c>
      <c r="K19" s="87" t="s">
        <v>208</v>
      </c>
      <c r="L19" s="85">
        <v>51</v>
      </c>
      <c r="M19" s="88">
        <v>0</v>
      </c>
      <c r="O19" s="107"/>
      <c r="Q19" s="335"/>
      <c r="R19" s="335"/>
      <c r="S19" s="335"/>
      <c r="U19" s="93">
        <v>8.6</v>
      </c>
      <c r="V19" s="94">
        <v>7</v>
      </c>
      <c r="W19" s="95">
        <v>6.3</v>
      </c>
      <c r="Y19" s="90">
        <v>12</v>
      </c>
      <c r="Z19" s="96">
        <v>12</v>
      </c>
      <c r="AA19" s="92">
        <v>13</v>
      </c>
      <c r="AC19" s="93">
        <v>8</v>
      </c>
      <c r="AD19" s="91">
        <v>0.1</v>
      </c>
      <c r="AE19" s="97">
        <v>0</v>
      </c>
      <c r="AG19" s="45">
        <f t="shared" si="1"/>
        <v>8</v>
      </c>
      <c r="AI19" s="98">
        <v>223</v>
      </c>
      <c r="AJ19" s="55">
        <f t="shared" si="2"/>
        <v>4982.457779999999</v>
      </c>
      <c r="AK19" s="98"/>
      <c r="AL19" s="55">
        <f t="shared" si="3"/>
      </c>
      <c r="AM19" s="98">
        <v>13</v>
      </c>
      <c r="AN19" s="55">
        <f t="shared" si="4"/>
        <v>290.45718</v>
      </c>
      <c r="AO19" s="110">
        <v>8</v>
      </c>
      <c r="AQ19" s="100">
        <v>202</v>
      </c>
      <c r="AR19" s="55">
        <f t="shared" si="5"/>
        <v>4513.25772</v>
      </c>
      <c r="AS19" s="98"/>
      <c r="AT19" s="55">
        <f t="shared" si="6"/>
      </c>
      <c r="AU19" s="98">
        <v>17</v>
      </c>
      <c r="AV19" s="55">
        <f t="shared" si="7"/>
        <v>379.82862</v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6"/>
      <c r="CH19" s="106"/>
      <c r="CI19" s="106"/>
      <c r="CJ19" s="106"/>
      <c r="CK19" s="106"/>
      <c r="CL19" s="241"/>
      <c r="CM19" s="152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5">
        <v>1837393</v>
      </c>
      <c r="D20" s="138">
        <f t="shared" si="0"/>
        <v>2.641</v>
      </c>
      <c r="E20" s="140">
        <v>4</v>
      </c>
      <c r="F20" s="141">
        <v>0.8</v>
      </c>
      <c r="G20" s="81" t="str">
        <f t="shared" si="8"/>
        <v>0.00</v>
      </c>
      <c r="H20" s="85">
        <v>2000</v>
      </c>
      <c r="I20" s="86">
        <v>8500</v>
      </c>
      <c r="K20" s="87" t="s">
        <v>208</v>
      </c>
      <c r="L20" s="85">
        <v>47</v>
      </c>
      <c r="M20" s="88">
        <v>0.12</v>
      </c>
      <c r="O20" s="107"/>
      <c r="Q20" s="335"/>
      <c r="R20" s="335"/>
      <c r="S20" s="335"/>
      <c r="U20" s="93">
        <v>7</v>
      </c>
      <c r="V20" s="94">
        <v>6.7</v>
      </c>
      <c r="W20" s="95">
        <v>6.3</v>
      </c>
      <c r="Y20" s="90">
        <v>12</v>
      </c>
      <c r="Z20" s="96">
        <v>12</v>
      </c>
      <c r="AA20" s="92">
        <v>14</v>
      </c>
      <c r="AC20" s="93">
        <v>4.5</v>
      </c>
      <c r="AD20" s="91">
        <v>0.4</v>
      </c>
      <c r="AE20" s="97">
        <v>0.01</v>
      </c>
      <c r="AG20" s="45">
        <f t="shared" si="1"/>
        <v>9</v>
      </c>
      <c r="AI20" s="98">
        <v>267</v>
      </c>
      <c r="AJ20" s="55">
        <f t="shared" si="2"/>
        <v>5880.92598</v>
      </c>
      <c r="AK20" s="98">
        <v>149</v>
      </c>
      <c r="AL20" s="55">
        <f t="shared" si="3"/>
        <v>3281.86506</v>
      </c>
      <c r="AM20" s="98">
        <v>14</v>
      </c>
      <c r="AN20" s="55">
        <f t="shared" si="4"/>
        <v>308.36316000000005</v>
      </c>
      <c r="AO20" s="110">
        <v>10</v>
      </c>
      <c r="AQ20" s="100">
        <v>260</v>
      </c>
      <c r="AR20" s="55">
        <f t="shared" si="5"/>
        <v>5726.7444</v>
      </c>
      <c r="AS20" s="98">
        <v>92</v>
      </c>
      <c r="AT20" s="55">
        <f t="shared" si="6"/>
        <v>2026.3864800000001</v>
      </c>
      <c r="AU20" s="98">
        <v>25</v>
      </c>
      <c r="AV20" s="55">
        <f t="shared" si="7"/>
        <v>550.6485</v>
      </c>
      <c r="AX20" s="100">
        <v>60668</v>
      </c>
      <c r="AY20" s="101">
        <v>3</v>
      </c>
      <c r="AZ20" s="102">
        <v>3.25</v>
      </c>
      <c r="BA20" s="98">
        <v>31</v>
      </c>
      <c r="BB20" s="102">
        <v>28</v>
      </c>
      <c r="BC20" s="98">
        <v>24</v>
      </c>
      <c r="BD20" s="98"/>
      <c r="BE20" s="103"/>
      <c r="BG20" s="100">
        <v>24</v>
      </c>
      <c r="BH20" s="84" t="s">
        <v>212</v>
      </c>
      <c r="BI20" s="104" t="s">
        <v>211</v>
      </c>
      <c r="CE20" s="69"/>
      <c r="CF20" s="20" t="s">
        <v>142</v>
      </c>
      <c r="CG20" s="106">
        <f>(IF(((SUM(AM39:AM41))=0)," ",(AVERAGE(AM39:AM41))))</f>
        <v>15.333333333333334</v>
      </c>
      <c r="CH20" s="106">
        <f>(IF(((SUM(AN39:AN41))=0)," ",(AVERAGE(AN39:AN41))))</f>
        <v>347.3471</v>
      </c>
      <c r="CI20" s="106"/>
      <c r="CJ20" s="106">
        <f>(IF(((SUM(AU39:AU41))=0)," ",(AVERAGE(AU39:AU41))))</f>
        <v>23</v>
      </c>
      <c r="CK20" s="106">
        <f>(IF(((SUM(AV39:AV41))=0)," ",(AVERAGE(AV39:AV41))))</f>
        <v>520.6606400000001</v>
      </c>
      <c r="CL20" s="241"/>
      <c r="CM20" s="152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3">
        <v>1840037</v>
      </c>
      <c r="D21" s="139">
        <f t="shared" si="0"/>
        <v>2.644</v>
      </c>
      <c r="E21" s="142">
        <v>4</v>
      </c>
      <c r="F21" s="143">
        <v>0.8</v>
      </c>
      <c r="G21" s="184" t="str">
        <f t="shared" si="8"/>
        <v>0.00</v>
      </c>
      <c r="H21" s="113">
        <v>0</v>
      </c>
      <c r="I21" s="114">
        <v>2750</v>
      </c>
      <c r="K21" s="115" t="s">
        <v>210</v>
      </c>
      <c r="L21" s="113">
        <v>54</v>
      </c>
      <c r="M21" s="116">
        <v>0</v>
      </c>
      <c r="O21" s="117"/>
      <c r="Q21" s="335"/>
      <c r="R21" s="335"/>
      <c r="S21" s="335"/>
      <c r="U21" s="118">
        <v>6.8</v>
      </c>
      <c r="V21" s="119">
        <v>6.9</v>
      </c>
      <c r="W21" s="120">
        <v>6.3</v>
      </c>
      <c r="Y21" s="121">
        <v>12</v>
      </c>
      <c r="Z21" s="122">
        <v>12</v>
      </c>
      <c r="AA21" s="123">
        <v>13</v>
      </c>
      <c r="AC21" s="118">
        <v>4</v>
      </c>
      <c r="AD21" s="124">
        <v>0</v>
      </c>
      <c r="AE21" s="125">
        <v>0</v>
      </c>
      <c r="AG21" s="45">
        <f t="shared" si="1"/>
        <v>10</v>
      </c>
      <c r="AI21" s="126"/>
      <c r="AJ21" s="65">
        <f t="shared" si="2"/>
      </c>
      <c r="AK21" s="126"/>
      <c r="AL21" s="65">
        <f t="shared" si="3"/>
      </c>
      <c r="AM21" s="126"/>
      <c r="AN21" s="65">
        <f t="shared" si="4"/>
      </c>
      <c r="AO21" s="127"/>
      <c r="AQ21" s="128"/>
      <c r="AR21" s="65">
        <f t="shared" si="5"/>
      </c>
      <c r="AS21" s="126"/>
      <c r="AT21" s="65">
        <f t="shared" si="6"/>
      </c>
      <c r="AU21" s="126"/>
      <c r="AV21" s="65">
        <f t="shared" si="7"/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5">
        <v>1842555</v>
      </c>
      <c r="D22" s="138">
        <f t="shared" si="0"/>
        <v>2.518</v>
      </c>
      <c r="E22" s="140">
        <v>3.8</v>
      </c>
      <c r="F22" s="141">
        <v>0.8</v>
      </c>
      <c r="G22" s="81" t="str">
        <f t="shared" si="8"/>
        <v>0.00</v>
      </c>
      <c r="H22" s="85">
        <v>0</v>
      </c>
      <c r="I22" s="86">
        <v>0</v>
      </c>
      <c r="K22" s="87" t="s">
        <v>210</v>
      </c>
      <c r="L22" s="85">
        <v>50</v>
      </c>
      <c r="M22" s="88">
        <v>0.18</v>
      </c>
      <c r="O22" s="107"/>
      <c r="Q22" s="335"/>
      <c r="R22" s="335"/>
      <c r="S22" s="335"/>
      <c r="U22" s="93">
        <v>7.2</v>
      </c>
      <c r="V22" s="94">
        <v>7.1</v>
      </c>
      <c r="W22" s="95">
        <v>6.5</v>
      </c>
      <c r="Y22" s="90">
        <v>11</v>
      </c>
      <c r="Z22" s="96">
        <v>12</v>
      </c>
      <c r="AA22" s="92">
        <v>13</v>
      </c>
      <c r="AC22" s="93">
        <v>3</v>
      </c>
      <c r="AD22" s="91">
        <v>0.01</v>
      </c>
      <c r="AE22" s="97">
        <v>0</v>
      </c>
      <c r="AG22" s="45">
        <f t="shared" si="1"/>
        <v>11</v>
      </c>
      <c r="AI22" s="98"/>
      <c r="AJ22" s="55">
        <f t="shared" si="2"/>
      </c>
      <c r="AK22" s="98"/>
      <c r="AL22" s="55">
        <f t="shared" si="3"/>
      </c>
      <c r="AM22" s="98"/>
      <c r="AN22" s="55">
        <f t="shared" si="4"/>
      </c>
      <c r="AO22" s="110"/>
      <c r="AQ22" s="100"/>
      <c r="AR22" s="55">
        <f t="shared" si="5"/>
      </c>
      <c r="AS22" s="98"/>
      <c r="AT22" s="55">
        <f t="shared" si="6"/>
      </c>
      <c r="AU22" s="98"/>
      <c r="AV22" s="55">
        <f t="shared" si="7"/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50">
        <f>(IF(((SUM(AV12:AV42))=0)," ",(AVERAGE(AV12:AV42))))</f>
        <v>515.0736342857142</v>
      </c>
      <c r="BR22" s="150">
        <f>MAX(AV12:AV42)</f>
        <v>601.5225</v>
      </c>
      <c r="BS22" s="105" t="s">
        <v>126</v>
      </c>
      <c r="BT22" s="105"/>
      <c r="BU22" s="150">
        <f>(IF(((SUM(AU12:AU42))=0)," ",(AVERAGE(AU12:AU42))))</f>
        <v>22.928571428571427</v>
      </c>
      <c r="BV22" s="144">
        <f>(CJ23)</f>
        <v>25</v>
      </c>
      <c r="BW22" s="150">
        <f>MAX(AU12:AU42)</f>
        <v>27</v>
      </c>
      <c r="BX22" s="105" t="s">
        <v>128</v>
      </c>
      <c r="BY22" s="105"/>
      <c r="BZ22" s="105">
        <v>0</v>
      </c>
      <c r="CA22" s="145" t="s">
        <v>47</v>
      </c>
      <c r="CB22" s="105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5">
        <v>1845218</v>
      </c>
      <c r="D23" s="138">
        <f t="shared" si="0"/>
        <v>2.663</v>
      </c>
      <c r="E23" s="140">
        <v>4.4</v>
      </c>
      <c r="F23" s="141">
        <v>0.8</v>
      </c>
      <c r="G23" s="81" t="str">
        <f t="shared" si="8"/>
        <v>0.00</v>
      </c>
      <c r="H23" s="85">
        <v>5500</v>
      </c>
      <c r="I23" s="86">
        <v>5000</v>
      </c>
      <c r="K23" s="87" t="s">
        <v>208</v>
      </c>
      <c r="L23" s="85">
        <v>45</v>
      </c>
      <c r="M23" s="88">
        <v>0.46</v>
      </c>
      <c r="O23" s="107"/>
      <c r="Q23" s="335"/>
      <c r="R23" s="335"/>
      <c r="S23" s="335"/>
      <c r="U23" s="93">
        <v>7.2</v>
      </c>
      <c r="V23" s="94">
        <v>7</v>
      </c>
      <c r="W23" s="95">
        <v>6.4</v>
      </c>
      <c r="Y23" s="90">
        <v>12</v>
      </c>
      <c r="Z23" s="96">
        <v>11</v>
      </c>
      <c r="AA23" s="92">
        <v>13</v>
      </c>
      <c r="AC23" s="93">
        <v>5.5</v>
      </c>
      <c r="AD23" s="91">
        <v>0.1</v>
      </c>
      <c r="AE23" s="97">
        <v>0</v>
      </c>
      <c r="AG23" s="45">
        <f t="shared" si="1"/>
        <v>12</v>
      </c>
      <c r="AI23" s="98"/>
      <c r="AJ23" s="55">
        <f t="shared" si="2"/>
      </c>
      <c r="AK23" s="98"/>
      <c r="AL23" s="55">
        <f t="shared" si="3"/>
      </c>
      <c r="AM23" s="98"/>
      <c r="AN23" s="55">
        <f t="shared" si="4"/>
      </c>
      <c r="AO23" s="110"/>
      <c r="AQ23" s="100"/>
      <c r="AR23" s="55">
        <f t="shared" si="5"/>
      </c>
      <c r="AS23" s="98"/>
      <c r="AT23" s="55">
        <f t="shared" si="6"/>
      </c>
      <c r="AU23" s="98"/>
      <c r="AV23" s="55">
        <f t="shared" si="7"/>
      </c>
      <c r="AX23" s="100">
        <v>46310</v>
      </c>
      <c r="AY23" s="101">
        <v>5</v>
      </c>
      <c r="AZ23" s="102">
        <v>3.25</v>
      </c>
      <c r="BA23" s="98">
        <v>27.9</v>
      </c>
      <c r="BB23" s="102">
        <v>30</v>
      </c>
      <c r="BC23" s="98">
        <v>24</v>
      </c>
      <c r="BD23" s="98"/>
      <c r="BE23" s="103"/>
      <c r="BG23" s="100">
        <v>24</v>
      </c>
      <c r="BH23" s="84" t="s">
        <v>212</v>
      </c>
      <c r="BI23" s="104" t="s">
        <v>211</v>
      </c>
      <c r="BK23" s="17"/>
      <c r="BL23" s="19"/>
      <c r="BM23" s="26" t="s">
        <v>86</v>
      </c>
      <c r="BN23" s="20"/>
      <c r="BO23" s="154" t="s">
        <v>131</v>
      </c>
      <c r="BP23" s="26"/>
      <c r="BQ23" s="237">
        <v>963</v>
      </c>
      <c r="BR23" s="237">
        <v>1605</v>
      </c>
      <c r="BS23" s="156" t="s">
        <v>126</v>
      </c>
      <c r="BT23" s="105"/>
      <c r="BU23" s="237">
        <v>30</v>
      </c>
      <c r="BV23" s="157">
        <v>45</v>
      </c>
      <c r="BW23" s="237">
        <v>50</v>
      </c>
      <c r="BX23" s="156" t="s">
        <v>128</v>
      </c>
      <c r="BY23" s="105"/>
      <c r="BZ23" s="238" t="s">
        <v>150</v>
      </c>
      <c r="CA23" s="158" t="s">
        <v>47</v>
      </c>
      <c r="CB23" s="156">
        <v>24</v>
      </c>
      <c r="CC23" s="137"/>
      <c r="CE23" s="69"/>
      <c r="CF23" s="72" t="s">
        <v>53</v>
      </c>
      <c r="CG23" s="150">
        <f>(IF(((SUM(CG12:CG20))=0)," ",(MAX(CG12:CG20))))</f>
        <v>17</v>
      </c>
      <c r="CH23" s="150">
        <f>(IF(((SUM(CH12:CH20))=0)," ",(MAX(CH12:CH20))))</f>
        <v>413</v>
      </c>
      <c r="CI23" s="186"/>
      <c r="CJ23" s="150">
        <f>(IF(((SUM(CJ12:CJ20))=0)," ",(MAX(CJ12:CJ20))))</f>
        <v>25</v>
      </c>
      <c r="CK23" s="150">
        <f>(IF(((SUM(CK12:CK20))=0)," ",(MAX(CK12:CK20))))</f>
        <v>543</v>
      </c>
      <c r="CL23" s="71"/>
      <c r="CM23" s="280">
        <f>(MAX(CM12:CM20))</f>
        <v>0.004285714285714286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5">
        <v>1847956</v>
      </c>
      <c r="D24" s="138">
        <f t="shared" si="0"/>
        <v>2.738</v>
      </c>
      <c r="E24" s="140">
        <v>4.2</v>
      </c>
      <c r="F24" s="141">
        <v>0.8</v>
      </c>
      <c r="G24" s="81" t="str">
        <f t="shared" si="8"/>
        <v>0.00</v>
      </c>
      <c r="H24" s="85">
        <v>200</v>
      </c>
      <c r="I24" s="86">
        <v>9750</v>
      </c>
      <c r="K24" s="87" t="s">
        <v>208</v>
      </c>
      <c r="L24" s="85">
        <v>46</v>
      </c>
      <c r="M24" s="88">
        <v>0.07</v>
      </c>
      <c r="O24" s="107"/>
      <c r="Q24" s="335"/>
      <c r="R24" s="335"/>
      <c r="S24" s="335"/>
      <c r="U24" s="93">
        <v>7.3</v>
      </c>
      <c r="V24" s="94">
        <v>7.1</v>
      </c>
      <c r="W24" s="95">
        <v>6.4</v>
      </c>
      <c r="Y24" s="90">
        <v>12</v>
      </c>
      <c r="Z24" s="96">
        <v>12</v>
      </c>
      <c r="AA24" s="92">
        <v>13</v>
      </c>
      <c r="AC24" s="93">
        <v>8</v>
      </c>
      <c r="AD24" s="91">
        <v>0.1</v>
      </c>
      <c r="AE24" s="97">
        <v>0</v>
      </c>
      <c r="AG24" s="45">
        <f t="shared" si="1"/>
        <v>13</v>
      </c>
      <c r="AI24" s="98"/>
      <c r="AJ24" s="55">
        <f t="shared" si="2"/>
      </c>
      <c r="AK24" s="98"/>
      <c r="AL24" s="55">
        <f t="shared" si="3"/>
      </c>
      <c r="AM24" s="98"/>
      <c r="AN24" s="55">
        <f t="shared" si="4"/>
      </c>
      <c r="AO24" s="110"/>
      <c r="AQ24" s="100"/>
      <c r="AR24" s="55">
        <f t="shared" si="5"/>
      </c>
      <c r="AS24" s="98"/>
      <c r="AT24" s="55">
        <f t="shared" si="6"/>
      </c>
      <c r="AU24" s="98"/>
      <c r="AV24" s="55">
        <f t="shared" si="7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5">
        <v>1850684</v>
      </c>
      <c r="D25" s="138">
        <f t="shared" si="0"/>
        <v>2.728</v>
      </c>
      <c r="E25" s="140">
        <v>4</v>
      </c>
      <c r="F25" s="141">
        <v>0.8</v>
      </c>
      <c r="G25" s="81" t="str">
        <f t="shared" si="8"/>
        <v>0.00</v>
      </c>
      <c r="H25" s="85">
        <v>0</v>
      </c>
      <c r="I25" s="86">
        <v>9500</v>
      </c>
      <c r="K25" s="87" t="s">
        <v>208</v>
      </c>
      <c r="L25" s="85">
        <v>49</v>
      </c>
      <c r="M25" s="88">
        <v>0.02</v>
      </c>
      <c r="O25" s="107"/>
      <c r="Q25" s="108"/>
      <c r="R25" s="153"/>
      <c r="S25" s="109"/>
      <c r="U25" s="93">
        <v>7.4</v>
      </c>
      <c r="V25" s="94">
        <v>7</v>
      </c>
      <c r="W25" s="95">
        <v>6.4</v>
      </c>
      <c r="Y25" s="90">
        <v>13</v>
      </c>
      <c r="Z25" s="96">
        <v>12</v>
      </c>
      <c r="AA25" s="92">
        <v>13</v>
      </c>
      <c r="AC25" s="93">
        <v>9</v>
      </c>
      <c r="AD25" s="91">
        <v>0.1</v>
      </c>
      <c r="AE25" s="97">
        <v>0</v>
      </c>
      <c r="AG25" s="45">
        <f t="shared" si="1"/>
        <v>14</v>
      </c>
      <c r="AI25" s="98">
        <v>241</v>
      </c>
      <c r="AJ25" s="55">
        <f t="shared" si="2"/>
        <v>5483.116320000001</v>
      </c>
      <c r="AK25" s="98"/>
      <c r="AL25" s="55">
        <f t="shared" si="3"/>
      </c>
      <c r="AM25" s="98">
        <v>14</v>
      </c>
      <c r="AN25" s="55">
        <f t="shared" si="4"/>
        <v>318.52128</v>
      </c>
      <c r="AO25" s="110">
        <v>9</v>
      </c>
      <c r="AQ25" s="100">
        <v>212</v>
      </c>
      <c r="AR25" s="55">
        <f t="shared" si="5"/>
        <v>4823.32224</v>
      </c>
      <c r="AS25" s="98"/>
      <c r="AT25" s="55">
        <f t="shared" si="6"/>
      </c>
      <c r="AU25" s="98">
        <v>21</v>
      </c>
      <c r="AV25" s="55">
        <f t="shared" si="7"/>
        <v>477.78192</v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3">
        <v>1853335</v>
      </c>
      <c r="D26" s="139">
        <f t="shared" si="0"/>
        <v>2.651</v>
      </c>
      <c r="E26" s="142">
        <v>4</v>
      </c>
      <c r="F26" s="143">
        <v>0.8</v>
      </c>
      <c r="G26" s="184" t="str">
        <f t="shared" si="8"/>
        <v>0.00</v>
      </c>
      <c r="H26" s="113">
        <v>0</v>
      </c>
      <c r="I26" s="114">
        <v>9750</v>
      </c>
      <c r="K26" s="115" t="s">
        <v>208</v>
      </c>
      <c r="L26" s="113">
        <v>49</v>
      </c>
      <c r="M26" s="116">
        <v>0.01</v>
      </c>
      <c r="O26" s="117"/>
      <c r="Q26" s="257">
        <v>21</v>
      </c>
      <c r="R26" s="258">
        <v>0.21</v>
      </c>
      <c r="S26" s="263">
        <v>4</v>
      </c>
      <c r="U26" s="118">
        <v>7.2</v>
      </c>
      <c r="V26" s="119">
        <v>7</v>
      </c>
      <c r="W26" s="120">
        <v>6.2</v>
      </c>
      <c r="Y26" s="121">
        <v>13</v>
      </c>
      <c r="Z26" s="122">
        <v>12</v>
      </c>
      <c r="AA26" s="123">
        <v>14</v>
      </c>
      <c r="AC26" s="118">
        <v>5</v>
      </c>
      <c r="AD26" s="124">
        <v>0.1</v>
      </c>
      <c r="AE26" s="125">
        <v>0</v>
      </c>
      <c r="AG26" s="45">
        <f t="shared" si="1"/>
        <v>15</v>
      </c>
      <c r="AI26" s="126">
        <v>326</v>
      </c>
      <c r="AJ26" s="65">
        <f t="shared" si="2"/>
        <v>7207.644839999999</v>
      </c>
      <c r="AK26" s="126"/>
      <c r="AL26" s="65">
        <f t="shared" si="3"/>
      </c>
      <c r="AM26" s="126">
        <v>15</v>
      </c>
      <c r="AN26" s="65">
        <f t="shared" si="4"/>
        <v>331.6401</v>
      </c>
      <c r="AO26" s="127">
        <v>10</v>
      </c>
      <c r="AQ26" s="128">
        <v>340</v>
      </c>
      <c r="AR26" s="65">
        <f t="shared" si="5"/>
        <v>7517.1756</v>
      </c>
      <c r="AS26" s="126"/>
      <c r="AT26" s="65">
        <f t="shared" si="6"/>
      </c>
      <c r="AU26" s="126">
        <v>23</v>
      </c>
      <c r="AV26" s="65">
        <f t="shared" si="7"/>
        <v>508.51482</v>
      </c>
      <c r="AX26" s="128">
        <v>45753</v>
      </c>
      <c r="AY26" s="129">
        <v>4</v>
      </c>
      <c r="AZ26" s="130">
        <v>3</v>
      </c>
      <c r="BA26" s="126">
        <v>31</v>
      </c>
      <c r="BB26" s="130">
        <v>27</v>
      </c>
      <c r="BC26" s="126">
        <v>24</v>
      </c>
      <c r="BD26" s="126"/>
      <c r="BE26" s="131"/>
      <c r="BG26" s="128">
        <v>24</v>
      </c>
      <c r="BH26" s="111" t="s">
        <v>212</v>
      </c>
      <c r="BI26" s="132" t="s">
        <v>211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5">
        <v>1855952</v>
      </c>
      <c r="D27" s="138">
        <f t="shared" si="0"/>
        <v>2.617</v>
      </c>
      <c r="E27" s="140">
        <v>4</v>
      </c>
      <c r="F27" s="141">
        <v>0.8</v>
      </c>
      <c r="G27" s="81" t="str">
        <f t="shared" si="8"/>
        <v>0.00</v>
      </c>
      <c r="H27" s="85">
        <v>1200</v>
      </c>
      <c r="I27" s="86">
        <v>9750</v>
      </c>
      <c r="K27" s="87" t="s">
        <v>210</v>
      </c>
      <c r="L27" s="85">
        <v>46</v>
      </c>
      <c r="M27" s="88">
        <v>0</v>
      </c>
      <c r="O27" s="107"/>
      <c r="Q27" s="108">
        <v>20</v>
      </c>
      <c r="R27" s="153">
        <v>0.34</v>
      </c>
      <c r="S27" s="109">
        <v>4</v>
      </c>
      <c r="U27" s="93">
        <v>7.4</v>
      </c>
      <c r="V27" s="94">
        <v>7.1</v>
      </c>
      <c r="W27" s="95">
        <v>6.4</v>
      </c>
      <c r="Y27" s="90">
        <v>13</v>
      </c>
      <c r="Z27" s="96">
        <v>12</v>
      </c>
      <c r="AA27" s="92">
        <v>13</v>
      </c>
      <c r="AC27" s="93">
        <v>9</v>
      </c>
      <c r="AD27" s="91">
        <v>0.1</v>
      </c>
      <c r="AE27" s="97">
        <v>0.01</v>
      </c>
      <c r="AG27" s="45">
        <f t="shared" si="1"/>
        <v>16</v>
      </c>
      <c r="AI27" s="98">
        <v>345</v>
      </c>
      <c r="AJ27" s="55">
        <f t="shared" si="2"/>
        <v>7529.8940999999995</v>
      </c>
      <c r="AK27" s="98">
        <v>159</v>
      </c>
      <c r="AL27" s="55">
        <f t="shared" si="3"/>
        <v>3470.29902</v>
      </c>
      <c r="AM27" s="98">
        <v>16</v>
      </c>
      <c r="AN27" s="55">
        <f t="shared" si="4"/>
        <v>349.21247999999997</v>
      </c>
      <c r="AO27" s="110">
        <v>9</v>
      </c>
      <c r="AQ27" s="100">
        <v>364</v>
      </c>
      <c r="AR27" s="55">
        <f t="shared" si="5"/>
        <v>7944.583919999999</v>
      </c>
      <c r="AS27" s="98">
        <v>95</v>
      </c>
      <c r="AT27" s="55">
        <f t="shared" si="6"/>
        <v>2073.4491</v>
      </c>
      <c r="AU27" s="98">
        <v>22</v>
      </c>
      <c r="AV27" s="55">
        <f t="shared" si="7"/>
        <v>480.16715999999997</v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5">
        <v>1858577</v>
      </c>
      <c r="D28" s="138">
        <f t="shared" si="0"/>
        <v>2.625</v>
      </c>
      <c r="E28" s="140">
        <v>4.2</v>
      </c>
      <c r="F28" s="141">
        <v>0.8</v>
      </c>
      <c r="G28" s="81" t="str">
        <f t="shared" si="8"/>
        <v>0.00</v>
      </c>
      <c r="H28" s="85">
        <v>1500</v>
      </c>
      <c r="I28" s="86">
        <v>1000</v>
      </c>
      <c r="K28" s="87" t="s">
        <v>210</v>
      </c>
      <c r="L28" s="85">
        <v>49</v>
      </c>
      <c r="M28" s="88">
        <v>0</v>
      </c>
      <c r="O28" s="107"/>
      <c r="Q28" s="108">
        <v>20</v>
      </c>
      <c r="R28" s="153">
        <v>0.3</v>
      </c>
      <c r="S28" s="109" t="s">
        <v>214</v>
      </c>
      <c r="U28" s="93">
        <v>7</v>
      </c>
      <c r="V28" s="94">
        <v>6.9</v>
      </c>
      <c r="W28" s="95">
        <v>6.3</v>
      </c>
      <c r="Y28" s="90">
        <v>11</v>
      </c>
      <c r="Z28" s="96">
        <v>12</v>
      </c>
      <c r="AA28" s="92">
        <v>13</v>
      </c>
      <c r="AC28" s="93">
        <v>10</v>
      </c>
      <c r="AD28" s="91">
        <v>0.1</v>
      </c>
      <c r="AE28" s="97">
        <v>0.01</v>
      </c>
      <c r="AG28" s="45">
        <f t="shared" si="1"/>
        <v>17</v>
      </c>
      <c r="AI28" s="98"/>
      <c r="AJ28" s="55">
        <f t="shared" si="2"/>
      </c>
      <c r="AK28" s="98"/>
      <c r="AL28" s="55">
        <f t="shared" si="3"/>
      </c>
      <c r="AM28" s="98"/>
      <c r="AN28" s="55">
        <f t="shared" si="4"/>
      </c>
      <c r="AO28" s="110"/>
      <c r="AQ28" s="100"/>
      <c r="AR28" s="55">
        <f t="shared" si="5"/>
      </c>
      <c r="AS28" s="98"/>
      <c r="AT28" s="55">
        <f t="shared" si="6"/>
      </c>
      <c r="AU28" s="98"/>
      <c r="AV28" s="55">
        <f t="shared" si="7"/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39" t="s">
        <v>150</v>
      </c>
      <c r="BR28" s="239" t="s">
        <v>150</v>
      </c>
      <c r="BS28" s="239" t="s">
        <v>150</v>
      </c>
      <c r="BT28" s="239"/>
      <c r="BU28" s="239" t="s">
        <v>150</v>
      </c>
      <c r="BV28" s="147">
        <f>(CM23)</f>
        <v>0.004285714285714286</v>
      </c>
      <c r="BW28" s="147">
        <f>MAX(AE12:AE42)</f>
        <v>0.01</v>
      </c>
      <c r="BX28" s="105" t="s">
        <v>128</v>
      </c>
      <c r="BY28" s="105"/>
      <c r="BZ28" s="105">
        <v>0</v>
      </c>
      <c r="CA28" s="145" t="s">
        <v>48</v>
      </c>
      <c r="CB28" s="105" t="s">
        <v>23</v>
      </c>
      <c r="CC28" s="137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5">
        <v>1861213</v>
      </c>
      <c r="D29" s="138">
        <f t="shared" si="0"/>
        <v>2.636</v>
      </c>
      <c r="E29" s="140">
        <v>4</v>
      </c>
      <c r="F29" s="141">
        <v>0.8</v>
      </c>
      <c r="G29" s="81" t="str">
        <f t="shared" si="8"/>
        <v>0.00</v>
      </c>
      <c r="H29" s="85">
        <v>0</v>
      </c>
      <c r="I29" s="86">
        <v>0</v>
      </c>
      <c r="K29" s="87" t="s">
        <v>210</v>
      </c>
      <c r="L29" s="85">
        <v>58</v>
      </c>
      <c r="M29" s="88">
        <v>0</v>
      </c>
      <c r="O29" s="107"/>
      <c r="Q29" s="108">
        <v>20</v>
      </c>
      <c r="R29" s="153">
        <v>0.36</v>
      </c>
      <c r="S29" s="109"/>
      <c r="U29" s="93">
        <v>7.2</v>
      </c>
      <c r="V29" s="94">
        <v>7</v>
      </c>
      <c r="W29" s="95">
        <v>6.4</v>
      </c>
      <c r="Y29" s="90">
        <v>12</v>
      </c>
      <c r="Z29" s="96">
        <v>12</v>
      </c>
      <c r="AA29" s="92">
        <v>13</v>
      </c>
      <c r="AC29" s="93">
        <v>7.5</v>
      </c>
      <c r="AD29" s="91">
        <v>0.1</v>
      </c>
      <c r="AE29" s="97">
        <v>0</v>
      </c>
      <c r="AG29" s="45">
        <f t="shared" si="1"/>
        <v>18</v>
      </c>
      <c r="AI29" s="98"/>
      <c r="AJ29" s="55">
        <f t="shared" si="2"/>
      </c>
      <c r="AK29" s="98"/>
      <c r="AL29" s="55">
        <f t="shared" si="3"/>
      </c>
      <c r="AM29" s="98"/>
      <c r="AN29" s="55">
        <f t="shared" si="4"/>
      </c>
      <c r="AO29" s="110"/>
      <c r="AQ29" s="100"/>
      <c r="AR29" s="55">
        <f t="shared" si="5"/>
      </c>
      <c r="AS29" s="98"/>
      <c r="AT29" s="55">
        <f t="shared" si="6"/>
      </c>
      <c r="AU29" s="98"/>
      <c r="AV29" s="55">
        <f t="shared" si="7"/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38" t="s">
        <v>150</v>
      </c>
      <c r="BR29" s="238" t="s">
        <v>150</v>
      </c>
      <c r="BS29" s="238" t="s">
        <v>150</v>
      </c>
      <c r="BT29" s="239"/>
      <c r="BU29" s="238" t="s">
        <v>150</v>
      </c>
      <c r="BV29" s="156" t="s">
        <v>146</v>
      </c>
      <c r="BW29" s="156">
        <v>0.3</v>
      </c>
      <c r="BX29" s="156" t="s">
        <v>128</v>
      </c>
      <c r="BY29" s="105"/>
      <c r="BZ29" s="238" t="s">
        <v>150</v>
      </c>
      <c r="CA29" s="158" t="s">
        <v>48</v>
      </c>
      <c r="CB29" s="156" t="s">
        <v>23</v>
      </c>
      <c r="CC29" s="137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5">
        <v>1863723</v>
      </c>
      <c r="D30" s="138">
        <f t="shared" si="0"/>
        <v>2.51</v>
      </c>
      <c r="E30" s="140">
        <v>4.6</v>
      </c>
      <c r="F30" s="141">
        <v>0.8</v>
      </c>
      <c r="G30" s="81" t="str">
        <f t="shared" si="8"/>
        <v>0.00</v>
      </c>
      <c r="H30" s="85">
        <v>2200</v>
      </c>
      <c r="I30" s="86">
        <v>6000</v>
      </c>
      <c r="K30" s="87" t="s">
        <v>210</v>
      </c>
      <c r="L30" s="85">
        <v>59</v>
      </c>
      <c r="M30" s="88">
        <v>0</v>
      </c>
      <c r="O30" s="107"/>
      <c r="Q30" s="108">
        <v>20</v>
      </c>
      <c r="R30" s="153">
        <v>0.26</v>
      </c>
      <c r="S30" s="109">
        <v>81</v>
      </c>
      <c r="U30" s="93">
        <v>7</v>
      </c>
      <c r="V30" s="94">
        <v>6.9</v>
      </c>
      <c r="W30" s="95">
        <v>6.4</v>
      </c>
      <c r="Y30" s="90">
        <v>13</v>
      </c>
      <c r="Z30" s="96">
        <v>12</v>
      </c>
      <c r="AA30" s="92">
        <v>14</v>
      </c>
      <c r="AC30" s="93">
        <v>5</v>
      </c>
      <c r="AD30" s="91">
        <v>0.1</v>
      </c>
      <c r="AE30" s="97">
        <v>0.01</v>
      </c>
      <c r="AG30" s="45">
        <f t="shared" si="1"/>
        <v>19</v>
      </c>
      <c r="AI30" s="98"/>
      <c r="AJ30" s="55">
        <f t="shared" si="2"/>
      </c>
      <c r="AK30" s="98"/>
      <c r="AL30" s="55">
        <f t="shared" si="3"/>
      </c>
      <c r="AM30" s="98"/>
      <c r="AN30" s="55">
        <f t="shared" si="4"/>
      </c>
      <c r="AO30" s="110"/>
      <c r="AQ30" s="100"/>
      <c r="AR30" s="55">
        <f t="shared" si="5"/>
      </c>
      <c r="AS30" s="98"/>
      <c r="AT30" s="55">
        <f t="shared" si="6"/>
      </c>
      <c r="AU30" s="98"/>
      <c r="AV30" s="55">
        <f t="shared" si="7"/>
      </c>
      <c r="AX30" s="100">
        <v>32814</v>
      </c>
      <c r="AY30" s="101">
        <v>3</v>
      </c>
      <c r="AZ30" s="102">
        <v>3.75</v>
      </c>
      <c r="BA30" s="98">
        <v>18.6</v>
      </c>
      <c r="BB30" s="102">
        <v>29</v>
      </c>
      <c r="BC30" s="98">
        <v>12</v>
      </c>
      <c r="BD30" s="98"/>
      <c r="BE30" s="103"/>
      <c r="BG30" s="100">
        <v>12</v>
      </c>
      <c r="BH30" s="84" t="s">
        <v>212</v>
      </c>
      <c r="BI30" s="104" t="s">
        <v>211</v>
      </c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3">
        <v>1866368</v>
      </c>
      <c r="D31" s="139">
        <f t="shared" si="0"/>
        <v>2.645</v>
      </c>
      <c r="E31" s="142">
        <v>4.6</v>
      </c>
      <c r="F31" s="143">
        <v>0.8</v>
      </c>
      <c r="G31" s="184" t="str">
        <f t="shared" si="8"/>
        <v>0.00</v>
      </c>
      <c r="H31" s="113">
        <v>750</v>
      </c>
      <c r="I31" s="114">
        <v>8250</v>
      </c>
      <c r="K31" s="115" t="s">
        <v>210</v>
      </c>
      <c r="L31" s="113">
        <v>62</v>
      </c>
      <c r="M31" s="116">
        <v>0</v>
      </c>
      <c r="O31" s="117"/>
      <c r="Q31" s="257">
        <v>23</v>
      </c>
      <c r="R31" s="258">
        <v>0.3</v>
      </c>
      <c r="S31" s="263">
        <v>5</v>
      </c>
      <c r="U31" s="118">
        <v>7.3</v>
      </c>
      <c r="V31" s="119">
        <v>7.1</v>
      </c>
      <c r="W31" s="120">
        <v>6.3</v>
      </c>
      <c r="Y31" s="121">
        <v>13</v>
      </c>
      <c r="Z31" s="122">
        <v>13</v>
      </c>
      <c r="AA31" s="123">
        <v>14</v>
      </c>
      <c r="AC31" s="118">
        <v>7.5</v>
      </c>
      <c r="AD31" s="124">
        <v>0.01</v>
      </c>
      <c r="AE31" s="125">
        <v>0</v>
      </c>
      <c r="AG31" s="45">
        <f t="shared" si="1"/>
        <v>20</v>
      </c>
      <c r="AI31" s="126"/>
      <c r="AJ31" s="65">
        <f t="shared" si="2"/>
      </c>
      <c r="AK31" s="126"/>
      <c r="AL31" s="65">
        <f t="shared" si="3"/>
      </c>
      <c r="AM31" s="126"/>
      <c r="AN31" s="65">
        <f t="shared" si="4"/>
      </c>
      <c r="AO31" s="127"/>
      <c r="AQ31" s="128"/>
      <c r="AR31" s="65">
        <f t="shared" si="5"/>
      </c>
      <c r="AS31" s="126"/>
      <c r="AT31" s="65">
        <f t="shared" si="6"/>
      </c>
      <c r="AU31" s="126"/>
      <c r="AV31" s="65">
        <f t="shared" si="7"/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5">
        <v>1868894</v>
      </c>
      <c r="D32" s="138">
        <f t="shared" si="0"/>
        <v>2.526</v>
      </c>
      <c r="E32" s="140">
        <v>3.8</v>
      </c>
      <c r="F32" s="141">
        <v>0.8</v>
      </c>
      <c r="G32" s="81" t="str">
        <f t="shared" si="8"/>
        <v>0.00</v>
      </c>
      <c r="H32" s="85">
        <v>1500</v>
      </c>
      <c r="I32" s="86">
        <v>10000</v>
      </c>
      <c r="K32" s="87" t="s">
        <v>210</v>
      </c>
      <c r="L32" s="85">
        <v>58</v>
      </c>
      <c r="M32" s="88">
        <v>0.26</v>
      </c>
      <c r="O32" s="107"/>
      <c r="Q32" s="108">
        <v>20</v>
      </c>
      <c r="R32" s="153">
        <v>0.35</v>
      </c>
      <c r="S32" s="109">
        <v>27</v>
      </c>
      <c r="U32" s="93">
        <v>7.3</v>
      </c>
      <c r="V32" s="94">
        <v>6.9</v>
      </c>
      <c r="W32" s="95">
        <v>6.2</v>
      </c>
      <c r="Y32" s="90">
        <v>13</v>
      </c>
      <c r="Z32" s="96">
        <v>13</v>
      </c>
      <c r="AA32" s="92">
        <v>14</v>
      </c>
      <c r="AC32" s="93">
        <v>9</v>
      </c>
      <c r="AD32" s="91">
        <v>0.01</v>
      </c>
      <c r="AE32" s="97">
        <v>0</v>
      </c>
      <c r="AG32" s="45">
        <f t="shared" si="1"/>
        <v>21</v>
      </c>
      <c r="AI32" s="98">
        <v>216</v>
      </c>
      <c r="AJ32" s="55">
        <f t="shared" si="2"/>
        <v>4550.43744</v>
      </c>
      <c r="AK32" s="98"/>
      <c r="AL32" s="55">
        <f t="shared" si="3"/>
      </c>
      <c r="AM32" s="98">
        <v>14</v>
      </c>
      <c r="AN32" s="55">
        <f t="shared" si="4"/>
        <v>294.93575999999996</v>
      </c>
      <c r="AO32" s="110">
        <v>8</v>
      </c>
      <c r="AQ32" s="100">
        <v>208</v>
      </c>
      <c r="AR32" s="55">
        <f t="shared" si="5"/>
        <v>4381.902719999999</v>
      </c>
      <c r="AS32" s="98"/>
      <c r="AT32" s="55">
        <f t="shared" si="6"/>
      </c>
      <c r="AU32" s="98">
        <v>25</v>
      </c>
      <c r="AV32" s="55">
        <f t="shared" si="7"/>
        <v>526.6709999999999</v>
      </c>
      <c r="AX32" s="100">
        <v>24554</v>
      </c>
      <c r="AY32" s="101">
        <v>2</v>
      </c>
      <c r="AZ32" s="102">
        <v>3.25</v>
      </c>
      <c r="BA32" s="98">
        <v>15.5</v>
      </c>
      <c r="BB32" s="102">
        <v>27</v>
      </c>
      <c r="BC32" s="98">
        <v>12</v>
      </c>
      <c r="BD32" s="98"/>
      <c r="BE32" s="103"/>
      <c r="BG32" s="100">
        <v>12</v>
      </c>
      <c r="BH32" s="84" t="s">
        <v>212</v>
      </c>
      <c r="BI32" s="104" t="s">
        <v>211</v>
      </c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5">
        <v>1871436</v>
      </c>
      <c r="D33" s="138">
        <f t="shared" si="0"/>
        <v>2.542</v>
      </c>
      <c r="E33" s="140">
        <v>4.6</v>
      </c>
      <c r="F33" s="141">
        <v>0.8</v>
      </c>
      <c r="G33" s="81" t="str">
        <f t="shared" si="8"/>
        <v>0.00</v>
      </c>
      <c r="H33" s="85">
        <v>2000</v>
      </c>
      <c r="I33" s="86">
        <v>9750</v>
      </c>
      <c r="K33" s="87" t="s">
        <v>208</v>
      </c>
      <c r="L33" s="85">
        <v>55</v>
      </c>
      <c r="M33" s="88">
        <v>0</v>
      </c>
      <c r="O33" s="107"/>
      <c r="Q33" s="108">
        <v>21</v>
      </c>
      <c r="R33" s="153">
        <v>0.22</v>
      </c>
      <c r="S33" s="109"/>
      <c r="U33" s="93">
        <v>7.3</v>
      </c>
      <c r="V33" s="94">
        <v>7</v>
      </c>
      <c r="W33" s="95">
        <v>6.4</v>
      </c>
      <c r="Y33" s="90">
        <v>13</v>
      </c>
      <c r="Z33" s="96">
        <v>13</v>
      </c>
      <c r="AA33" s="92">
        <v>14</v>
      </c>
      <c r="AC33" s="93">
        <v>8</v>
      </c>
      <c r="AD33" s="91">
        <v>0.1</v>
      </c>
      <c r="AE33" s="97">
        <v>0</v>
      </c>
      <c r="AG33" s="45">
        <f t="shared" si="1"/>
        <v>22</v>
      </c>
      <c r="AI33" s="98">
        <v>248</v>
      </c>
      <c r="AJ33" s="55">
        <f t="shared" si="2"/>
        <v>5257.66944</v>
      </c>
      <c r="AK33" s="98"/>
      <c r="AL33" s="55">
        <f t="shared" si="3"/>
      </c>
      <c r="AM33" s="98">
        <v>16</v>
      </c>
      <c r="AN33" s="55">
        <f t="shared" si="4"/>
        <v>339.20448</v>
      </c>
      <c r="AO33" s="110">
        <v>11</v>
      </c>
      <c r="AQ33" s="100">
        <v>252</v>
      </c>
      <c r="AR33" s="55">
        <f t="shared" si="5"/>
        <v>5342.47056</v>
      </c>
      <c r="AS33" s="98"/>
      <c r="AT33" s="55">
        <f t="shared" si="6"/>
      </c>
      <c r="AU33" s="98">
        <v>27</v>
      </c>
      <c r="AV33" s="55">
        <f t="shared" si="7"/>
        <v>572.40756</v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148">
        <f>(D47)</f>
        <v>2.656064516129033</v>
      </c>
      <c r="BR33" s="148">
        <f>(D45)</f>
        <v>2.903</v>
      </c>
      <c r="BS33" s="105" t="s">
        <v>127</v>
      </c>
      <c r="BT33" s="105"/>
      <c r="BU33" s="239" t="s">
        <v>150</v>
      </c>
      <c r="BV33" s="239" t="s">
        <v>150</v>
      </c>
      <c r="BW33" s="239" t="s">
        <v>150</v>
      </c>
      <c r="BX33" s="239" t="s">
        <v>150</v>
      </c>
      <c r="BY33" s="105"/>
      <c r="BZ33" s="105">
        <v>0</v>
      </c>
      <c r="CA33" s="149" t="s">
        <v>24</v>
      </c>
      <c r="CB33" s="105" t="s">
        <v>25</v>
      </c>
      <c r="CC33" s="137"/>
      <c r="CJ33" s="326" t="s">
        <v>17</v>
      </c>
      <c r="CK33" s="328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5">
        <v>1874142</v>
      </c>
      <c r="D34" s="138">
        <f t="shared" si="0"/>
        <v>2.706</v>
      </c>
      <c r="E34" s="140">
        <v>4</v>
      </c>
      <c r="F34" s="141">
        <v>0.8</v>
      </c>
      <c r="G34" s="81" t="str">
        <f t="shared" si="8"/>
        <v>0.00</v>
      </c>
      <c r="H34" s="85">
        <v>3200</v>
      </c>
      <c r="I34" s="86">
        <v>5000</v>
      </c>
      <c r="K34" s="87" t="s">
        <v>208</v>
      </c>
      <c r="L34" s="85">
        <v>50</v>
      </c>
      <c r="M34" s="88">
        <v>0.06</v>
      </c>
      <c r="O34" s="107"/>
      <c r="Q34" s="108">
        <v>22</v>
      </c>
      <c r="R34" s="153">
        <v>0.3</v>
      </c>
      <c r="S34" s="109"/>
      <c r="U34" s="93">
        <v>7.3</v>
      </c>
      <c r="V34" s="94">
        <v>7</v>
      </c>
      <c r="W34" s="95">
        <v>6.3</v>
      </c>
      <c r="Y34" s="90">
        <v>13</v>
      </c>
      <c r="Z34" s="96">
        <v>13</v>
      </c>
      <c r="AA34" s="92">
        <v>14</v>
      </c>
      <c r="AC34" s="93">
        <v>7</v>
      </c>
      <c r="AD34" s="91">
        <v>0.1</v>
      </c>
      <c r="AE34" s="97">
        <v>0</v>
      </c>
      <c r="AG34" s="45">
        <f t="shared" si="1"/>
        <v>23</v>
      </c>
      <c r="AI34" s="98">
        <v>238</v>
      </c>
      <c r="AJ34" s="55">
        <f t="shared" si="2"/>
        <v>5371.19352</v>
      </c>
      <c r="AK34" s="98">
        <v>123</v>
      </c>
      <c r="AL34" s="55">
        <f t="shared" si="3"/>
        <v>2775.8689200000003</v>
      </c>
      <c r="AM34" s="98">
        <v>13</v>
      </c>
      <c r="AN34" s="55">
        <f t="shared" si="4"/>
        <v>293.38451999999995</v>
      </c>
      <c r="AO34" s="110">
        <v>8</v>
      </c>
      <c r="AQ34" s="100">
        <v>256</v>
      </c>
      <c r="AR34" s="55">
        <f t="shared" si="5"/>
        <v>5777.41824</v>
      </c>
      <c r="AS34" s="98">
        <v>86</v>
      </c>
      <c r="AT34" s="55">
        <f t="shared" si="6"/>
        <v>1940.8514400000001</v>
      </c>
      <c r="AU34" s="98">
        <v>23</v>
      </c>
      <c r="AV34" s="55">
        <f t="shared" si="7"/>
        <v>519.06492</v>
      </c>
      <c r="AX34" s="100">
        <v>48997</v>
      </c>
      <c r="AY34" s="101">
        <v>4</v>
      </c>
      <c r="AZ34" s="102">
        <v>3.25</v>
      </c>
      <c r="BA34" s="98">
        <v>31</v>
      </c>
      <c r="BB34" s="102">
        <v>26</v>
      </c>
      <c r="BC34" s="98">
        <v>24</v>
      </c>
      <c r="BD34" s="98"/>
      <c r="BE34" s="103"/>
      <c r="BG34" s="100">
        <v>24</v>
      </c>
      <c r="BH34" s="84" t="s">
        <v>212</v>
      </c>
      <c r="BI34" s="104" t="s">
        <v>211</v>
      </c>
      <c r="BK34" s="17"/>
      <c r="BL34" s="19"/>
      <c r="BM34" s="26" t="s">
        <v>86</v>
      </c>
      <c r="BN34" s="20"/>
      <c r="BO34" s="154" t="s">
        <v>131</v>
      </c>
      <c r="BP34" s="26"/>
      <c r="BQ34" s="160">
        <v>3.85</v>
      </c>
      <c r="BR34" s="156" t="s">
        <v>146</v>
      </c>
      <c r="BS34" s="156" t="s">
        <v>127</v>
      </c>
      <c r="BT34" s="105"/>
      <c r="BU34" s="238" t="s">
        <v>150</v>
      </c>
      <c r="BV34" s="238" t="s">
        <v>150</v>
      </c>
      <c r="BW34" s="238" t="s">
        <v>150</v>
      </c>
      <c r="BX34" s="238" t="s">
        <v>150</v>
      </c>
      <c r="BY34" s="105"/>
      <c r="BZ34" s="238" t="s">
        <v>150</v>
      </c>
      <c r="CA34" s="161" t="s">
        <v>24</v>
      </c>
      <c r="CB34" s="156" t="s">
        <v>25</v>
      </c>
      <c r="CC34" s="137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5">
        <v>1876574</v>
      </c>
      <c r="D35" s="138">
        <f t="shared" si="0"/>
        <v>2.432</v>
      </c>
      <c r="E35" s="140">
        <v>3.8</v>
      </c>
      <c r="F35" s="141">
        <v>0.8</v>
      </c>
      <c r="G35" s="81" t="str">
        <f t="shared" si="8"/>
        <v>0.00</v>
      </c>
      <c r="H35" s="85">
        <v>750</v>
      </c>
      <c r="I35" s="86">
        <v>500</v>
      </c>
      <c r="K35" s="87" t="s">
        <v>213</v>
      </c>
      <c r="L35" s="85">
        <v>47</v>
      </c>
      <c r="M35" s="88">
        <v>0.36</v>
      </c>
      <c r="O35" s="107"/>
      <c r="Q35" s="108">
        <v>20</v>
      </c>
      <c r="R35" s="153">
        <v>0.31</v>
      </c>
      <c r="S35" s="109"/>
      <c r="U35" s="93">
        <v>7.1</v>
      </c>
      <c r="V35" s="94">
        <v>7.1</v>
      </c>
      <c r="W35" s="95">
        <v>6.5</v>
      </c>
      <c r="Y35" s="90">
        <v>12</v>
      </c>
      <c r="Z35" s="96">
        <v>13</v>
      </c>
      <c r="AA35" s="92">
        <v>14</v>
      </c>
      <c r="AC35" s="93">
        <v>3.5</v>
      </c>
      <c r="AD35" s="91">
        <v>0.01</v>
      </c>
      <c r="AE35" s="97">
        <v>0</v>
      </c>
      <c r="AG35" s="45">
        <f t="shared" si="1"/>
        <v>24</v>
      </c>
      <c r="AI35" s="98"/>
      <c r="AJ35" s="55">
        <f t="shared" si="2"/>
      </c>
      <c r="AK35" s="98"/>
      <c r="AL35" s="55">
        <f t="shared" si="3"/>
      </c>
      <c r="AM35" s="98"/>
      <c r="AN35" s="55">
        <f t="shared" si="4"/>
      </c>
      <c r="AO35" s="110"/>
      <c r="AQ35" s="100"/>
      <c r="AR35" s="55">
        <f t="shared" si="5"/>
      </c>
      <c r="AS35" s="98"/>
      <c r="AT35" s="55">
        <f t="shared" si="6"/>
      </c>
      <c r="AU35" s="98"/>
      <c r="AV35" s="55">
        <f t="shared" si="7"/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3">
        <v>1878986</v>
      </c>
      <c r="D36" s="139">
        <f t="shared" si="0"/>
        <v>2.412</v>
      </c>
      <c r="E36" s="142">
        <v>3.6</v>
      </c>
      <c r="F36" s="143">
        <v>0.8</v>
      </c>
      <c r="G36" s="184" t="str">
        <f t="shared" si="8"/>
        <v>0.00</v>
      </c>
      <c r="H36" s="113">
        <v>0</v>
      </c>
      <c r="I36" s="114">
        <v>0</v>
      </c>
      <c r="K36" s="115" t="s">
        <v>213</v>
      </c>
      <c r="L36" s="113">
        <v>54</v>
      </c>
      <c r="M36" s="116">
        <v>0.05</v>
      </c>
      <c r="O36" s="117"/>
      <c r="Q36" s="257">
        <v>20</v>
      </c>
      <c r="R36" s="258">
        <v>0.3</v>
      </c>
      <c r="S36" s="263"/>
      <c r="U36" s="118">
        <v>7.1</v>
      </c>
      <c r="V36" s="119">
        <v>6.9</v>
      </c>
      <c r="W36" s="120">
        <v>6.3</v>
      </c>
      <c r="Y36" s="121">
        <v>13</v>
      </c>
      <c r="Z36" s="122">
        <v>13</v>
      </c>
      <c r="AA36" s="123">
        <v>14</v>
      </c>
      <c r="AC36" s="118">
        <v>4.5</v>
      </c>
      <c r="AD36" s="124">
        <v>0.1</v>
      </c>
      <c r="AE36" s="125">
        <v>0</v>
      </c>
      <c r="AG36" s="45">
        <f t="shared" si="1"/>
        <v>25</v>
      </c>
      <c r="AI36" s="126"/>
      <c r="AJ36" s="65">
        <f t="shared" si="2"/>
      </c>
      <c r="AK36" s="126"/>
      <c r="AL36" s="65">
        <f t="shared" si="3"/>
      </c>
      <c r="AM36" s="126"/>
      <c r="AN36" s="65">
        <f t="shared" si="4"/>
      </c>
      <c r="AO36" s="127"/>
      <c r="AQ36" s="128"/>
      <c r="AR36" s="65">
        <f t="shared" si="5"/>
      </c>
      <c r="AS36" s="126"/>
      <c r="AT36" s="65">
        <f t="shared" si="6"/>
      </c>
      <c r="AU36" s="126"/>
      <c r="AV36" s="65">
        <f t="shared" si="7"/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5">
        <v>1881266</v>
      </c>
      <c r="D37" s="138">
        <f t="shared" si="0"/>
        <v>2.28</v>
      </c>
      <c r="E37" s="140">
        <v>4.2</v>
      </c>
      <c r="F37" s="141">
        <v>0.8</v>
      </c>
      <c r="G37" s="81" t="str">
        <f t="shared" si="8"/>
        <v>0.00</v>
      </c>
      <c r="H37" s="85">
        <v>0</v>
      </c>
      <c r="I37" s="86">
        <v>0</v>
      </c>
      <c r="K37" s="87" t="s">
        <v>208</v>
      </c>
      <c r="L37" s="85">
        <v>51</v>
      </c>
      <c r="M37" s="88">
        <v>0.97</v>
      </c>
      <c r="O37" s="107"/>
      <c r="Q37" s="108">
        <v>19</v>
      </c>
      <c r="R37" s="153">
        <v>0.39</v>
      </c>
      <c r="S37" s="109" t="s">
        <v>214</v>
      </c>
      <c r="U37" s="93">
        <v>7.1</v>
      </c>
      <c r="V37" s="94">
        <v>7</v>
      </c>
      <c r="W37" s="95">
        <v>6.4</v>
      </c>
      <c r="Y37" s="90">
        <v>12</v>
      </c>
      <c r="Z37" s="96">
        <v>12</v>
      </c>
      <c r="AA37" s="92">
        <v>14</v>
      </c>
      <c r="AC37" s="93">
        <v>4.5</v>
      </c>
      <c r="AD37" s="91">
        <v>0.01</v>
      </c>
      <c r="AE37" s="97">
        <v>0</v>
      </c>
      <c r="AG37" s="45">
        <f t="shared" si="1"/>
        <v>26</v>
      </c>
      <c r="AI37" s="98"/>
      <c r="AJ37" s="55">
        <f t="shared" si="2"/>
      </c>
      <c r="AK37" s="98"/>
      <c r="AL37" s="55">
        <f t="shared" si="3"/>
      </c>
      <c r="AM37" s="98"/>
      <c r="AN37" s="55">
        <f t="shared" si="4"/>
      </c>
      <c r="AO37" s="110"/>
      <c r="AQ37" s="100"/>
      <c r="AR37" s="55">
        <f t="shared" si="5"/>
      </c>
      <c r="AS37" s="98"/>
      <c r="AT37" s="55">
        <f t="shared" si="6"/>
      </c>
      <c r="AU37" s="98"/>
      <c r="AV37" s="55">
        <f t="shared" si="7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2">
        <f>(IF(((SUM(AJ12:AJ42))=0)," ",(((AJ47-(D47*AO47*8.346))/AJ47)*100)))</f>
        <v>96.14647842822987</v>
      </c>
      <c r="CK37" s="333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5">
        <v>1883928</v>
      </c>
      <c r="D38" s="138">
        <f t="shared" si="0"/>
        <v>2.662</v>
      </c>
      <c r="E38" s="140">
        <v>4</v>
      </c>
      <c r="F38" s="141">
        <v>0.8</v>
      </c>
      <c r="G38" s="81" t="str">
        <f t="shared" si="8"/>
        <v>0.00</v>
      </c>
      <c r="H38" s="85">
        <v>6300</v>
      </c>
      <c r="I38" s="86">
        <v>9250</v>
      </c>
      <c r="K38" s="87" t="s">
        <v>208</v>
      </c>
      <c r="L38" s="85">
        <v>54</v>
      </c>
      <c r="M38" s="88">
        <v>0.01</v>
      </c>
      <c r="O38" s="107"/>
      <c r="Q38" s="108">
        <v>22</v>
      </c>
      <c r="R38" s="153">
        <v>0.35</v>
      </c>
      <c r="S38" s="109">
        <v>6</v>
      </c>
      <c r="U38" s="93">
        <v>7.1</v>
      </c>
      <c r="V38" s="94">
        <v>6.9</v>
      </c>
      <c r="W38" s="95">
        <v>6.3</v>
      </c>
      <c r="Y38" s="90">
        <v>13</v>
      </c>
      <c r="Z38" s="96">
        <v>12</v>
      </c>
      <c r="AA38" s="92">
        <v>14</v>
      </c>
      <c r="AC38" s="93">
        <v>7.5</v>
      </c>
      <c r="AD38" s="91">
        <v>0.01</v>
      </c>
      <c r="AE38" s="97">
        <v>0</v>
      </c>
      <c r="AG38" s="45">
        <f t="shared" si="1"/>
        <v>27</v>
      </c>
      <c r="AI38" s="98"/>
      <c r="AJ38" s="55">
        <f t="shared" si="2"/>
      </c>
      <c r="AK38" s="98"/>
      <c r="AL38" s="55">
        <f t="shared" si="3"/>
      </c>
      <c r="AM38" s="98"/>
      <c r="AN38" s="55">
        <f t="shared" si="4"/>
      </c>
      <c r="AO38" s="110"/>
      <c r="AQ38" s="100"/>
      <c r="AR38" s="55">
        <f t="shared" si="5"/>
      </c>
      <c r="AS38" s="98"/>
      <c r="AT38" s="55">
        <f t="shared" si="6"/>
      </c>
      <c r="AU38" s="98"/>
      <c r="AV38" s="55">
        <f t="shared" si="7"/>
      </c>
      <c r="AX38" s="100">
        <v>54489</v>
      </c>
      <c r="AY38" s="101">
        <v>3</v>
      </c>
      <c r="AZ38" s="102">
        <v>3.5</v>
      </c>
      <c r="BA38" s="98">
        <v>34.1</v>
      </c>
      <c r="BB38" s="102">
        <v>29</v>
      </c>
      <c r="BC38" s="98">
        <v>24</v>
      </c>
      <c r="BD38" s="98"/>
      <c r="BE38" s="103"/>
      <c r="BG38" s="100">
        <v>24</v>
      </c>
      <c r="BH38" s="84" t="s">
        <v>212</v>
      </c>
      <c r="BI38" s="104" t="s">
        <v>211</v>
      </c>
      <c r="BK38" s="17"/>
      <c r="BL38" s="19"/>
      <c r="BM38" s="56" t="s">
        <v>117</v>
      </c>
      <c r="BN38" s="20"/>
      <c r="BO38" s="57" t="s">
        <v>130</v>
      </c>
      <c r="BP38" s="26"/>
      <c r="BQ38" s="239" t="s">
        <v>150</v>
      </c>
      <c r="BR38" s="239" t="s">
        <v>150</v>
      </c>
      <c r="BS38" s="239" t="s">
        <v>150</v>
      </c>
      <c r="BT38" s="105"/>
      <c r="BU38" s="146">
        <f>(AN49)</f>
        <v>94.07164829550155</v>
      </c>
      <c r="BV38" s="239" t="s">
        <v>150</v>
      </c>
      <c r="BW38" s="239" t="s">
        <v>150</v>
      </c>
      <c r="BX38" s="105" t="s">
        <v>129</v>
      </c>
      <c r="BY38" s="105"/>
      <c r="BZ38" s="105">
        <v>0</v>
      </c>
      <c r="CA38" s="145" t="s">
        <v>49</v>
      </c>
      <c r="CB38" s="105" t="s">
        <v>26</v>
      </c>
      <c r="CC38" s="137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5">
        <v>1886667</v>
      </c>
      <c r="D39" s="138">
        <f t="shared" si="0"/>
        <v>2.739</v>
      </c>
      <c r="E39" s="140">
        <v>4</v>
      </c>
      <c r="F39" s="141">
        <v>0.8</v>
      </c>
      <c r="G39" s="81" t="str">
        <f t="shared" si="8"/>
        <v>0.00</v>
      </c>
      <c r="H39" s="85">
        <v>2700</v>
      </c>
      <c r="I39" s="86">
        <v>9000</v>
      </c>
      <c r="K39" s="87" t="s">
        <v>208</v>
      </c>
      <c r="L39" s="85">
        <v>55</v>
      </c>
      <c r="M39" s="88">
        <v>0</v>
      </c>
      <c r="O39" s="107"/>
      <c r="Q39" s="108">
        <v>21</v>
      </c>
      <c r="R39" s="153">
        <v>0.3</v>
      </c>
      <c r="S39" s="109">
        <v>6</v>
      </c>
      <c r="U39" s="93">
        <v>7.2</v>
      </c>
      <c r="V39" s="94">
        <v>7</v>
      </c>
      <c r="W39" s="95">
        <v>6.3</v>
      </c>
      <c r="Y39" s="90">
        <v>13</v>
      </c>
      <c r="Z39" s="96">
        <v>13</v>
      </c>
      <c r="AA39" s="92">
        <v>14</v>
      </c>
      <c r="AC39" s="93">
        <v>8</v>
      </c>
      <c r="AD39" s="91">
        <v>0.01</v>
      </c>
      <c r="AE39" s="97">
        <v>0</v>
      </c>
      <c r="AG39" s="45">
        <f t="shared" si="1"/>
        <v>28</v>
      </c>
      <c r="AI39" s="98">
        <v>273</v>
      </c>
      <c r="AJ39" s="55">
        <f t="shared" si="2"/>
        <v>6236.20998</v>
      </c>
      <c r="AK39" s="98"/>
      <c r="AL39" s="55">
        <f t="shared" si="3"/>
      </c>
      <c r="AM39" s="98">
        <v>15</v>
      </c>
      <c r="AN39" s="55">
        <f t="shared" si="4"/>
        <v>342.6489</v>
      </c>
      <c r="AO39" s="110">
        <v>10</v>
      </c>
      <c r="AQ39" s="100">
        <v>268</v>
      </c>
      <c r="AR39" s="55">
        <f t="shared" si="5"/>
        <v>6121.9936800000005</v>
      </c>
      <c r="AS39" s="98"/>
      <c r="AT39" s="55">
        <f t="shared" si="6"/>
      </c>
      <c r="AU39" s="98">
        <v>20</v>
      </c>
      <c r="AV39" s="55">
        <f t="shared" si="7"/>
        <v>456.8652</v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38" t="s">
        <v>150</v>
      </c>
      <c r="BR39" s="238" t="s">
        <v>150</v>
      </c>
      <c r="BS39" s="238" t="s">
        <v>150</v>
      </c>
      <c r="BT39" s="105"/>
      <c r="BU39" s="159">
        <v>85</v>
      </c>
      <c r="BV39" s="238" t="s">
        <v>150</v>
      </c>
      <c r="BW39" s="238" t="s">
        <v>150</v>
      </c>
      <c r="BX39" s="156" t="s">
        <v>129</v>
      </c>
      <c r="BY39" s="105"/>
      <c r="BZ39" s="238" t="s">
        <v>150</v>
      </c>
      <c r="CA39" s="158" t="s">
        <v>49</v>
      </c>
      <c r="CB39" s="156" t="s">
        <v>26</v>
      </c>
      <c r="CC39" s="137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4">
        <v>29</v>
      </c>
      <c r="C40" s="85">
        <v>1889359</v>
      </c>
      <c r="D40" s="138">
        <f t="shared" si="0"/>
        <v>2.692</v>
      </c>
      <c r="E40" s="140">
        <v>3.8</v>
      </c>
      <c r="F40" s="141">
        <v>0.8</v>
      </c>
      <c r="G40" s="81" t="str">
        <f t="shared" si="8"/>
        <v>0.00</v>
      </c>
      <c r="H40" s="85">
        <v>4400</v>
      </c>
      <c r="I40" s="86">
        <v>8750</v>
      </c>
      <c r="K40" s="87" t="s">
        <v>208</v>
      </c>
      <c r="L40" s="85">
        <v>58</v>
      </c>
      <c r="M40" s="88">
        <v>0.01</v>
      </c>
      <c r="O40" s="107"/>
      <c r="Q40" s="108">
        <v>20</v>
      </c>
      <c r="R40" s="153">
        <v>0.26</v>
      </c>
      <c r="S40" s="109"/>
      <c r="U40" s="93">
        <v>7.4</v>
      </c>
      <c r="V40" s="94">
        <v>6.9</v>
      </c>
      <c r="W40" s="95">
        <v>6.2</v>
      </c>
      <c r="Y40" s="90">
        <v>13</v>
      </c>
      <c r="Z40" s="96">
        <v>13</v>
      </c>
      <c r="AA40" s="92">
        <v>15</v>
      </c>
      <c r="AC40" s="93">
        <v>7.5</v>
      </c>
      <c r="AD40" s="91">
        <v>0.1</v>
      </c>
      <c r="AE40" s="97">
        <v>0.01</v>
      </c>
      <c r="AG40" s="45">
        <f t="shared" si="1"/>
        <v>29</v>
      </c>
      <c r="AI40" s="98">
        <v>240</v>
      </c>
      <c r="AJ40" s="55">
        <f t="shared" si="2"/>
        <v>5388.3072</v>
      </c>
      <c r="AK40" s="98"/>
      <c r="AL40" s="55">
        <f t="shared" si="3"/>
      </c>
      <c r="AM40" s="98">
        <v>14</v>
      </c>
      <c r="AN40" s="55">
        <f t="shared" si="4"/>
        <v>314.31792</v>
      </c>
      <c r="AO40" s="110">
        <v>10</v>
      </c>
      <c r="AQ40" s="100">
        <v>242</v>
      </c>
      <c r="AR40" s="55">
        <f t="shared" si="5"/>
        <v>5433.209760000001</v>
      </c>
      <c r="AS40" s="98"/>
      <c r="AT40" s="55">
        <f t="shared" si="6"/>
      </c>
      <c r="AU40" s="98">
        <v>24</v>
      </c>
      <c r="AV40" s="55">
        <f t="shared" si="7"/>
        <v>538.83072</v>
      </c>
      <c r="AX40" s="100">
        <v>23308</v>
      </c>
      <c r="AY40" s="101">
        <v>3</v>
      </c>
      <c r="AZ40" s="102">
        <v>3</v>
      </c>
      <c r="BA40" s="98">
        <v>27.9</v>
      </c>
      <c r="BB40" s="102">
        <v>28</v>
      </c>
      <c r="BC40" s="98">
        <v>22</v>
      </c>
      <c r="BD40" s="98"/>
      <c r="BE40" s="103"/>
      <c r="BG40" s="100">
        <v>22</v>
      </c>
      <c r="BH40" s="84" t="s">
        <v>212</v>
      </c>
      <c r="BI40" s="104" t="s">
        <v>211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4">
        <v>30</v>
      </c>
      <c r="C41" s="85">
        <v>1892075</v>
      </c>
      <c r="D41" s="138">
        <f t="shared" si="0"/>
        <v>2.716</v>
      </c>
      <c r="E41" s="140">
        <v>5.2</v>
      </c>
      <c r="F41" s="141">
        <v>0.8</v>
      </c>
      <c r="G41" s="81" t="str">
        <f t="shared" si="8"/>
        <v>0.00</v>
      </c>
      <c r="H41" s="85">
        <v>3000</v>
      </c>
      <c r="I41" s="86">
        <v>6250</v>
      </c>
      <c r="K41" s="87" t="s">
        <v>210</v>
      </c>
      <c r="L41" s="85">
        <v>60</v>
      </c>
      <c r="M41" s="88">
        <v>0.11</v>
      </c>
      <c r="O41" s="107"/>
      <c r="Q41" s="108">
        <v>21</v>
      </c>
      <c r="R41" s="153">
        <v>0.26</v>
      </c>
      <c r="S41" s="109"/>
      <c r="U41" s="93">
        <v>7.1</v>
      </c>
      <c r="V41" s="94">
        <v>7</v>
      </c>
      <c r="W41" s="95">
        <v>6.2</v>
      </c>
      <c r="Y41" s="90">
        <v>14</v>
      </c>
      <c r="Z41" s="96">
        <v>14</v>
      </c>
      <c r="AA41" s="92">
        <v>15</v>
      </c>
      <c r="AC41" s="93">
        <v>5</v>
      </c>
      <c r="AD41" s="91">
        <v>0.01</v>
      </c>
      <c r="AE41" s="97">
        <v>0</v>
      </c>
      <c r="AG41" s="45">
        <f t="shared" si="1"/>
        <v>30</v>
      </c>
      <c r="AI41" s="98">
        <v>252</v>
      </c>
      <c r="AJ41" s="55">
        <f t="shared" si="2"/>
        <v>5708.16288</v>
      </c>
      <c r="AK41" s="98">
        <v>142</v>
      </c>
      <c r="AL41" s="55">
        <f t="shared" si="3"/>
        <v>3216.50448</v>
      </c>
      <c r="AM41" s="98">
        <v>17</v>
      </c>
      <c r="AN41" s="55">
        <f t="shared" si="4"/>
        <v>385.07448000000005</v>
      </c>
      <c r="AO41" s="110">
        <v>13</v>
      </c>
      <c r="AQ41" s="100">
        <v>250</v>
      </c>
      <c r="AR41" s="55">
        <f t="shared" si="5"/>
        <v>5662.86</v>
      </c>
      <c r="AS41" s="98">
        <v>75</v>
      </c>
      <c r="AT41" s="55">
        <f t="shared" si="6"/>
        <v>1698.8580000000002</v>
      </c>
      <c r="AU41" s="98">
        <v>25</v>
      </c>
      <c r="AV41" s="55">
        <f t="shared" si="7"/>
        <v>566.2860000000001</v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4">
        <v>31</v>
      </c>
      <c r="C42" s="113">
        <v>1894978</v>
      </c>
      <c r="D42" s="139">
        <f t="shared" si="0"/>
        <v>2.903</v>
      </c>
      <c r="E42" s="142">
        <v>4.2</v>
      </c>
      <c r="F42" s="143">
        <v>0.8</v>
      </c>
      <c r="G42" s="184" t="str">
        <f t="shared" si="8"/>
        <v>0.00</v>
      </c>
      <c r="H42" s="113">
        <v>0</v>
      </c>
      <c r="I42" s="114">
        <v>5000</v>
      </c>
      <c r="K42" s="115" t="s">
        <v>210</v>
      </c>
      <c r="L42" s="113">
        <v>61</v>
      </c>
      <c r="M42" s="116">
        <v>0.02</v>
      </c>
      <c r="O42" s="117"/>
      <c r="Q42" s="257">
        <v>22</v>
      </c>
      <c r="R42" s="258">
        <v>0.21</v>
      </c>
      <c r="S42" s="114"/>
      <c r="U42" s="134">
        <v>7</v>
      </c>
      <c r="V42" s="135">
        <v>7</v>
      </c>
      <c r="W42" s="136">
        <v>6.2</v>
      </c>
      <c r="Y42" s="133">
        <v>13</v>
      </c>
      <c r="Z42" s="113">
        <v>13</v>
      </c>
      <c r="AA42" s="114">
        <v>15</v>
      </c>
      <c r="AC42" s="134">
        <v>4.5</v>
      </c>
      <c r="AD42" s="112">
        <v>0.01</v>
      </c>
      <c r="AE42" s="116">
        <v>0</v>
      </c>
      <c r="AG42" s="45">
        <f t="shared" si="1"/>
        <v>31</v>
      </c>
      <c r="AI42" s="126"/>
      <c r="AJ42" s="65">
        <f t="shared" si="2"/>
      </c>
      <c r="AK42" s="126"/>
      <c r="AL42" s="65">
        <f t="shared" si="3"/>
      </c>
      <c r="AM42" s="126"/>
      <c r="AN42" s="65">
        <f t="shared" si="4"/>
      </c>
      <c r="AO42" s="127"/>
      <c r="AQ42" s="128"/>
      <c r="AR42" s="65">
        <f t="shared" si="5"/>
      </c>
      <c r="AS42" s="126"/>
      <c r="AT42" s="65">
        <f t="shared" si="6"/>
      </c>
      <c r="AU42" s="126"/>
      <c r="AV42" s="65">
        <f t="shared" si="7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9" t="s">
        <v>150</v>
      </c>
      <c r="BR43" s="239" t="s">
        <v>150</v>
      </c>
      <c r="BS43" s="239" t="s">
        <v>150</v>
      </c>
      <c r="BT43" s="105"/>
      <c r="BU43" s="146">
        <f>(AU49)</f>
        <v>90.90691188006625</v>
      </c>
      <c r="BV43" s="239" t="s">
        <v>150</v>
      </c>
      <c r="BW43" s="239" t="s">
        <v>150</v>
      </c>
      <c r="BX43" s="105" t="s">
        <v>129</v>
      </c>
      <c r="BY43" s="105"/>
      <c r="BZ43" s="105">
        <v>0</v>
      </c>
      <c r="CA43" s="145" t="s">
        <v>49</v>
      </c>
      <c r="CB43" s="105" t="s">
        <v>26</v>
      </c>
      <c r="CC43" s="137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9">
        <f>(IF(((SUM(C12:C42))=0)," ",((MAX(C12:C42))-C11)))</f>
        <v>82338</v>
      </c>
      <c r="D44" s="228">
        <f>(IF(((SUM(D12:D42))=0)," ",(SUM(D12:D42))))</f>
        <v>82.33800000000002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56100</v>
      </c>
      <c r="I44" s="196">
        <f>(IF(((SUM(I12:I42))=0)," ",(SUM(I12:I42))))</f>
        <v>194750</v>
      </c>
      <c r="K44" s="200" t="s">
        <v>150</v>
      </c>
      <c r="L44" s="201" t="s">
        <v>150</v>
      </c>
      <c r="M44" s="202">
        <f>(IF(((SUM(M12:M42))=0)," ",(SUM(M11:M42))))</f>
        <v>3.0599999999999996</v>
      </c>
      <c r="O44" s="203" t="str">
        <f>(IF(((SUM(O12:O42))=0),"0.0",(SUM(O11:O42))))</f>
        <v>0.0</v>
      </c>
      <c r="Q44" s="199">
        <f>(IF(((SUM(Q12:Q42))=0),"0",(SUM(Q11:Q42))))</f>
        <v>352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436826</v>
      </c>
      <c r="AY44" s="201" t="s">
        <v>150</v>
      </c>
      <c r="AZ44" s="212">
        <f>(IF(((SUM(AZ12:AZ42))=0)," ",(SUM(AZ12:AZ42))))</f>
        <v>35.25</v>
      </c>
      <c r="BA44" s="199">
        <f>(IF(((SUM(BA12:BA42))=0)," ",(SUM(BA12:BA42))))</f>
        <v>282.09999999999997</v>
      </c>
      <c r="BB44" s="207" t="s">
        <v>150</v>
      </c>
      <c r="BC44" s="199">
        <f>(IF(((SUM(BC12:BC42))=0)," ",(SUM(BC12:BC42))))</f>
        <v>212</v>
      </c>
      <c r="BD44" s="189" t="str">
        <f>(IF(((SUM(BD12:BD42))=0)," ",(SUM(BD12:BD42))))</f>
        <v> </v>
      </c>
      <c r="BE44" s="210" t="s">
        <v>150</v>
      </c>
      <c r="BG44" s="213">
        <f>(IF(((SUM(BG12:BG42))=0)," ",(SUM(BG12:BG42))))</f>
        <v>212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38" t="s">
        <v>150</v>
      </c>
      <c r="BR44" s="238" t="s">
        <v>150</v>
      </c>
      <c r="BS44" s="238" t="s">
        <v>150</v>
      </c>
      <c r="BT44" s="105"/>
      <c r="BU44" s="159">
        <v>85</v>
      </c>
      <c r="BV44" s="238" t="s">
        <v>150</v>
      </c>
      <c r="BW44" s="238" t="s">
        <v>150</v>
      </c>
      <c r="BX44" s="156" t="s">
        <v>129</v>
      </c>
      <c r="BY44" s="105"/>
      <c r="BZ44" s="238" t="s">
        <v>150</v>
      </c>
      <c r="CA44" s="158" t="s">
        <v>49</v>
      </c>
      <c r="CB44" s="156" t="s">
        <v>26</v>
      </c>
      <c r="CC44" s="137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2.903</v>
      </c>
      <c r="E45" s="216">
        <f>(IF((SUM(E12:E42))=0," ",(MAX(E12:E42))))</f>
        <v>5.2</v>
      </c>
      <c r="F45" s="217">
        <f>(IF((SUM(F12:F42))=0," ",(MAX(F12:F42))))</f>
        <v>1.2</v>
      </c>
      <c r="G45" s="216">
        <f>(MAX(G12:G42))</f>
        <v>0</v>
      </c>
      <c r="H45" s="162">
        <f>(IF((SUM(H12:H42))=0," ",(MAX(H12:H42))))</f>
        <v>6300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62</v>
      </c>
      <c r="M45" s="219">
        <f>(IF((SUM(M12:M42))=0," ",(MAX(M12:M42))))</f>
        <v>0.97</v>
      </c>
      <c r="O45" s="220" t="s">
        <v>150</v>
      </c>
      <c r="Q45" s="221" t="s">
        <v>150</v>
      </c>
      <c r="R45" s="184">
        <f>(IF(((SUM(R12:R42))=0),"-",(MAX(R12:R42))))</f>
        <v>0.39</v>
      </c>
      <c r="S45" s="163">
        <f>(IF(((SUM(S12:S42))=0),"-",(MAX(S12:S42))))</f>
        <v>81</v>
      </c>
      <c r="U45" s="222">
        <f>(IF((SUM(U12:U42))=0," ",(MAX(U12:U42))))</f>
        <v>8.6</v>
      </c>
      <c r="V45" s="183">
        <f>(IF((SUM(V12:V42))=0," ",(MAX(V12:V42))))</f>
        <v>7.1</v>
      </c>
      <c r="W45" s="223">
        <f>(IF((SUM(W12:W42))=0," ",(MAX(W12:W42))))</f>
        <v>6.5</v>
      </c>
      <c r="Y45" s="218">
        <f>(IF((SUM(Y12:Y42))=0," ",(MAX(Y12:Y42))))</f>
        <v>14</v>
      </c>
      <c r="Z45" s="162">
        <f>(IF((SUM(Z12:Z42))=0," ",(MAX(Z12:Z42))))</f>
        <v>14</v>
      </c>
      <c r="AA45" s="163">
        <f>(IF((SUM(AA12:AA42))=0," ",(MAX(AA12:AA42))))</f>
        <v>15</v>
      </c>
      <c r="AC45" s="222">
        <f>(IF((SUM(AC12:AC42))=0," ",(MAX(AC12:AC42))))</f>
        <v>10</v>
      </c>
      <c r="AD45" s="184">
        <f>(IF((SUM(AD12:AD42))=0," ",(MAX(AD12:AD42))))</f>
        <v>0.4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345</v>
      </c>
      <c r="AJ45" s="162">
        <f t="shared" si="9"/>
        <v>7529.8940999999995</v>
      </c>
      <c r="AK45" s="218">
        <f t="shared" si="9"/>
        <v>159</v>
      </c>
      <c r="AL45" s="163">
        <f t="shared" si="9"/>
        <v>3786.72696</v>
      </c>
      <c r="AM45" s="218">
        <f t="shared" si="9"/>
        <v>18</v>
      </c>
      <c r="AN45" s="163">
        <f t="shared" si="9"/>
        <v>434.14703999999995</v>
      </c>
      <c r="AO45" s="224">
        <f t="shared" si="9"/>
        <v>13</v>
      </c>
      <c r="AQ45" s="218">
        <f aca="true" t="shared" si="10" ref="AQ45:AV45">(IF((SUM(AQ12:AQ42))=0," ",(MAX(AQ12:AQ42))))</f>
        <v>364</v>
      </c>
      <c r="AR45" s="163">
        <f t="shared" si="10"/>
        <v>7944.583919999999</v>
      </c>
      <c r="AS45" s="218">
        <f t="shared" si="10"/>
        <v>95</v>
      </c>
      <c r="AT45" s="163">
        <f t="shared" si="10"/>
        <v>2073.4491</v>
      </c>
      <c r="AU45" s="218">
        <f t="shared" si="10"/>
        <v>27</v>
      </c>
      <c r="AV45" s="163">
        <f t="shared" si="10"/>
        <v>601.5225</v>
      </c>
      <c r="AX45" s="221" t="s">
        <v>150</v>
      </c>
      <c r="AY45" s="183">
        <f>(IF((SUM(AY12:AY42))=0," ",(MAX(AY12:AY42))))</f>
        <v>5</v>
      </c>
      <c r="AZ45" s="225" t="s">
        <v>150</v>
      </c>
      <c r="BA45" s="221" t="s">
        <v>150</v>
      </c>
      <c r="BB45" s="223">
        <f>(IF((SUM(BB12:BB42))=0," ",(MAX(BB12:BB42))))</f>
        <v>30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6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2.28</v>
      </c>
      <c r="E46" s="227">
        <f>(IF((SUM(E12:E42))=0," ",(MIN(E12:E42))))</f>
        <v>3.6</v>
      </c>
      <c r="F46" s="228">
        <f>(IF((SUM(F12:F42))=0," ",(MIN(F12:F42))))</f>
        <v>0.8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45</v>
      </c>
      <c r="M46" s="202">
        <f>(IF((SUM(M12:M42))=0," ",(MIN(M12:M42))))</f>
        <v>0</v>
      </c>
      <c r="O46" s="229" t="s">
        <v>150</v>
      </c>
      <c r="Q46" s="208" t="s">
        <v>150</v>
      </c>
      <c r="R46" s="191">
        <f>(IF(((SUM(R12:R42))=0),"-",(MIN(R12:R42))))</f>
        <v>0.21</v>
      </c>
      <c r="S46" s="196">
        <f>(IF(((SUM(S12:S42))=0),"-",(MIN(S12:S42))))</f>
        <v>4</v>
      </c>
      <c r="U46" s="230">
        <f>(IF((SUM(U12:U42))=0," ",(MIN(U12:U42))))</f>
        <v>6.8</v>
      </c>
      <c r="V46" s="192">
        <f>(IF((SUM(V12:V42))=0," ",(MIN(V12:V42))))</f>
        <v>6.7</v>
      </c>
      <c r="W46" s="212">
        <f>(IF((SUM(W12:W42))=0," ",(MIN(W12:W42))))</f>
        <v>6.1</v>
      </c>
      <c r="Y46" s="199">
        <f aca="true" t="shared" si="11" ref="Y46:AD46">(IF((SUM(Y12:Y42))=0," ",(MIN(Y12:Y42))))</f>
        <v>11</v>
      </c>
      <c r="Z46" s="189">
        <f t="shared" si="11"/>
        <v>11</v>
      </c>
      <c r="AA46" s="196">
        <f t="shared" si="11"/>
        <v>12</v>
      </c>
      <c r="AB46" t="str">
        <f t="shared" si="11"/>
        <v> </v>
      </c>
      <c r="AC46" s="230">
        <f t="shared" si="11"/>
        <v>3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197</v>
      </c>
      <c r="AJ46" s="189">
        <f t="shared" si="12"/>
        <v>4550.43744</v>
      </c>
      <c r="AK46" s="199">
        <f t="shared" si="12"/>
        <v>123</v>
      </c>
      <c r="AL46" s="196">
        <f t="shared" si="12"/>
        <v>2775.8689200000003</v>
      </c>
      <c r="AM46" s="199">
        <f t="shared" si="12"/>
        <v>13</v>
      </c>
      <c r="AN46" s="196">
        <f t="shared" si="12"/>
        <v>290.45718</v>
      </c>
      <c r="AO46" s="231">
        <f t="shared" si="12"/>
        <v>8</v>
      </c>
      <c r="AQ46" s="199">
        <f aca="true" t="shared" si="13" ref="AQ46:AV46">(IF((SUM(AQ12:AQ42))=0," ",(MIN(AQ12:AQ42))))</f>
        <v>192</v>
      </c>
      <c r="AR46" s="196">
        <f t="shared" si="13"/>
        <v>4381.902719999999</v>
      </c>
      <c r="AS46" s="199">
        <f t="shared" si="13"/>
        <v>72</v>
      </c>
      <c r="AT46" s="196">
        <f t="shared" si="13"/>
        <v>1698.8580000000002</v>
      </c>
      <c r="AU46" s="199">
        <f t="shared" si="13"/>
        <v>17</v>
      </c>
      <c r="AV46" s="196">
        <f t="shared" si="13"/>
        <v>379.82862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32" t="s">
        <v>150</v>
      </c>
      <c r="BH46" s="214" t="s">
        <v>150</v>
      </c>
      <c r="BI46" s="215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2.656064516129033</v>
      </c>
      <c r="E47" s="216">
        <f>(IF((SUM(E12:E42))=0," ",(AVERAGE(E12:E42))))</f>
        <v>4.199999999999998</v>
      </c>
      <c r="F47" s="217">
        <f>(IF((SUM(F12:F42))=0," ",(AVERAGE(F12:F42))))</f>
        <v>0.812903225806452</v>
      </c>
      <c r="G47" s="216" t="str">
        <f>(IF((SUM(G12:G42))=0,"0.000",(AVERAGE(G12:G42))))</f>
        <v>0.000</v>
      </c>
      <c r="H47" s="162">
        <f>(IF((SUM(H12:H42))=0," ",(AVERAGE(H12:H42))))</f>
        <v>1809.6774193548388</v>
      </c>
      <c r="I47" s="163">
        <f>(IF((SUM(I12:I42))=0," ",(AVERAGE(I12:I42))))</f>
        <v>6282.258064516129</v>
      </c>
      <c r="K47" s="180" t="s">
        <v>150</v>
      </c>
      <c r="L47" s="183">
        <f>(IF((SUM(L12:L42))=0," ",(AVERAGE(L12:L42))))</f>
        <v>52.061290322580646</v>
      </c>
      <c r="M47" s="219">
        <f>(IF((SUM(M12:M42))=0," ",(AVERAGE(M12:M42))))</f>
        <v>0.09870967741935482</v>
      </c>
      <c r="O47" s="220" t="s">
        <v>150</v>
      </c>
      <c r="Q47" s="218">
        <f>(IF((SUM(Q12:Q42))=0," ",(AVERAGE(Q12:Q42))))</f>
        <v>20.705882352941178</v>
      </c>
      <c r="R47" s="233" t="s">
        <v>150</v>
      </c>
      <c r="S47" s="234" t="s">
        <v>150</v>
      </c>
      <c r="U47" s="222">
        <f>(IF((SUM(U12:U42))=0," ",(AVERAGE(U12:U42))))</f>
        <v>7.203225806451615</v>
      </c>
      <c r="V47" s="183">
        <f>(IF((SUM(V12:V42))=0," ",(AVERAGE(V12:V42))))</f>
        <v>6.967741935483871</v>
      </c>
      <c r="W47" s="223">
        <f>(IF((SUM(W12:W42))=0," ",(AVERAGE(W12:W42))))</f>
        <v>6.30967741935484</v>
      </c>
      <c r="Y47" s="218">
        <f>(IF((SUM(Y12:Y42))=0," ",(AVERAGE(Y12:Y42))))</f>
        <v>12.35483870967742</v>
      </c>
      <c r="Z47" s="162">
        <f>(IF((SUM(Z12:Z42))=0," ",(AVERAGE(Z12:Z42))))</f>
        <v>12.193548387096774</v>
      </c>
      <c r="AA47" s="163">
        <f>(IF((SUM(AA12:AA42))=0," ",(AVERAGE(AA12:AA42))))</f>
        <v>13.483870967741936</v>
      </c>
      <c r="AC47" s="222">
        <f>(IF((SUM(AC12:AC42))=0," ",(AVERAGE(AC12:AC42))))</f>
        <v>6.467741935483871</v>
      </c>
      <c r="AD47" s="184">
        <f>(IF((SUM(AD12:AD42))=0," ",(AVERAGE(AD12:AD42))))</f>
        <v>0.08096774193548385</v>
      </c>
      <c r="AE47" s="219">
        <f>(IF((COUNT(AE12:AE42))=0," ",(AVERAGE(AE12:AE42))))</f>
        <v>0.0016129032258064516</v>
      </c>
      <c r="AG47" s="26" t="str">
        <f>($A47)</f>
        <v>Average</v>
      </c>
      <c r="AI47" s="162">
        <f aca="true" t="shared" si="14" ref="AI47:AO47">(IF((SUM(AI12:AI42))=0," ",(AVERAGE(AI12:AI42))))</f>
        <v>253</v>
      </c>
      <c r="AJ47" s="162">
        <f t="shared" si="14"/>
        <v>5670.355093846154</v>
      </c>
      <c r="AK47" s="218">
        <f t="shared" si="14"/>
        <v>146</v>
      </c>
      <c r="AL47" s="163">
        <f t="shared" si="14"/>
        <v>3306.2528880000004</v>
      </c>
      <c r="AM47" s="218">
        <f t="shared" si="14"/>
        <v>14.928571428571429</v>
      </c>
      <c r="AN47" s="163">
        <f t="shared" si="14"/>
        <v>336.15859285714293</v>
      </c>
      <c r="AO47" s="224">
        <f t="shared" si="14"/>
        <v>9.857142857142858</v>
      </c>
      <c r="AQ47" s="218">
        <f aca="true" t="shared" si="15" ref="AQ47:AV47">(IF((SUM(AQ12:AQ42))=0," ",(AVERAGE(AQ12:AQ42))))</f>
        <v>252.15384615384616</v>
      </c>
      <c r="AR47" s="163">
        <f t="shared" si="15"/>
        <v>5650.613030769231</v>
      </c>
      <c r="AS47" s="218">
        <f t="shared" si="15"/>
        <v>84</v>
      </c>
      <c r="AT47" s="163">
        <f t="shared" si="15"/>
        <v>1895.226636</v>
      </c>
      <c r="AU47" s="218">
        <f t="shared" si="15"/>
        <v>22.928571428571427</v>
      </c>
      <c r="AV47" s="163">
        <f t="shared" si="15"/>
        <v>515.0736342857142</v>
      </c>
      <c r="AX47" s="218">
        <f aca="true" t="shared" si="16" ref="AX47:BE47">(IF((SUM(AX12:AX42))=0," ",(AVERAGE(AX12:AX42))))</f>
        <v>43682.6</v>
      </c>
      <c r="AY47" s="183">
        <f t="shared" si="16"/>
        <v>3.3</v>
      </c>
      <c r="AZ47" s="223">
        <f t="shared" si="16"/>
        <v>3.525</v>
      </c>
      <c r="BA47" s="218">
        <f t="shared" si="16"/>
        <v>28.209999999999997</v>
      </c>
      <c r="BB47" s="223">
        <f t="shared" si="16"/>
        <v>27.9</v>
      </c>
      <c r="BC47" s="218">
        <f t="shared" si="16"/>
        <v>21.2</v>
      </c>
      <c r="BD47" s="162" t="str">
        <f t="shared" si="16"/>
        <v> </v>
      </c>
      <c r="BE47" s="219" t="str">
        <f t="shared" si="16"/>
        <v> </v>
      </c>
      <c r="BG47" s="133">
        <f>(IF((SUM(BG12:BG42))=0," ",(AVERAGE(BG12:BG42))))</f>
        <v>21.2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61" t="s">
        <v>203</v>
      </c>
      <c r="BR48" s="239" t="s">
        <v>150</v>
      </c>
      <c r="BS48" s="261" t="s">
        <v>203</v>
      </c>
      <c r="BT48" s="105"/>
      <c r="BU48" s="239" t="s">
        <v>150</v>
      </c>
      <c r="BV48" s="144">
        <f>(S49)</f>
        <v>9.360955518077292</v>
      </c>
      <c r="BW48" s="144">
        <f>(S45)</f>
        <v>81</v>
      </c>
      <c r="BX48" s="239" t="s">
        <v>150</v>
      </c>
      <c r="BY48" s="105"/>
      <c r="BZ48" s="105">
        <v>0</v>
      </c>
      <c r="CA48" s="149" t="s">
        <v>205</v>
      </c>
      <c r="CB48" s="105" t="s">
        <v>23</v>
      </c>
      <c r="CC48" s="27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18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>
        <f>(IF(((SUM(S12:S42))=0),"-",(GEOMEAN(S12:S42))))</f>
        <v>9.360955518077292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94.07164829550155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90.90691188006625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60" t="s">
        <v>203</v>
      </c>
      <c r="BR49" s="238" t="s">
        <v>150</v>
      </c>
      <c r="BS49" s="260" t="s">
        <v>203</v>
      </c>
      <c r="BT49" s="105"/>
      <c r="BU49" s="238" t="s">
        <v>150</v>
      </c>
      <c r="BV49" s="157">
        <v>142</v>
      </c>
      <c r="BW49" s="157">
        <v>949</v>
      </c>
      <c r="BX49" s="262" t="s">
        <v>204</v>
      </c>
      <c r="BY49" s="105"/>
      <c r="BZ49" s="238" t="s">
        <v>150</v>
      </c>
      <c r="CA49" s="161" t="s">
        <v>205</v>
      </c>
      <c r="CB49" s="156" t="s">
        <v>23</v>
      </c>
      <c r="CC49" s="27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81"/>
      <c r="R50" s="281"/>
      <c r="S50" s="281"/>
      <c r="U50" s="281"/>
      <c r="V50" s="281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282"/>
      <c r="R51" s="282"/>
      <c r="S51" s="282"/>
      <c r="U51" s="281"/>
      <c r="V51" s="281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4"/>
      <c r="C52" s="4"/>
      <c r="D52" s="4"/>
      <c r="E52" s="4"/>
      <c r="F52" s="4"/>
      <c r="G52" s="4"/>
      <c r="H52" s="4"/>
      <c r="I52" s="4"/>
      <c r="K52" s="4"/>
      <c r="L52" s="4"/>
      <c r="M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I52" s="17"/>
      <c r="AJ52" s="17"/>
      <c r="AK52" s="17"/>
      <c r="AL52" s="17"/>
      <c r="AM52" s="17"/>
      <c r="AN52" s="4"/>
      <c r="AO52" s="4"/>
      <c r="AQ52" s="4"/>
      <c r="AR52" s="4"/>
      <c r="AS52" s="4"/>
      <c r="AT52" s="4"/>
      <c r="AU52" s="4"/>
      <c r="AV52" s="4"/>
      <c r="AX52" s="4"/>
      <c r="AY52" s="4"/>
      <c r="AZ52" s="4"/>
      <c r="BA52" s="4"/>
      <c r="BB52" s="4"/>
      <c r="BC52" s="4"/>
      <c r="BD52" s="4"/>
      <c r="BE52" s="4"/>
      <c r="BG52" s="4"/>
      <c r="BH52" s="4"/>
      <c r="BI52" s="4"/>
      <c r="BK52" s="4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4"/>
    </row>
    <row r="53" spans="1:94" ht="18" customHeight="1">
      <c r="A53" s="4"/>
      <c r="C53" s="4"/>
      <c r="D53" s="4"/>
      <c r="E53" s="4"/>
      <c r="F53" s="4"/>
      <c r="G53" s="4"/>
      <c r="H53" s="4"/>
      <c r="I53" s="4"/>
      <c r="K53" s="4"/>
      <c r="L53" s="4"/>
      <c r="M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H53" t="s">
        <v>201</v>
      </c>
      <c r="AI53" s="17" t="s">
        <v>215</v>
      </c>
      <c r="AJ53" s="17"/>
      <c r="AK53" s="4"/>
      <c r="AL53" s="4"/>
      <c r="AM53" s="4"/>
      <c r="AN53" s="4"/>
      <c r="AO53" s="4"/>
      <c r="AQ53" s="4"/>
      <c r="AR53" s="4"/>
      <c r="AS53" s="4"/>
      <c r="AT53" s="4"/>
      <c r="AU53" s="4"/>
      <c r="AV53" s="4"/>
      <c r="AX53" s="4"/>
      <c r="AY53" s="4"/>
      <c r="AZ53" s="4"/>
      <c r="BA53" s="4"/>
      <c r="BB53" s="4"/>
      <c r="BC53" s="4"/>
      <c r="BD53" s="4"/>
      <c r="BE53" s="4"/>
      <c r="BG53" s="4"/>
      <c r="BH53" s="4"/>
      <c r="BI53" s="4"/>
      <c r="BK53" s="4"/>
      <c r="BL53" s="19"/>
      <c r="BM53" s="20" t="s">
        <v>206</v>
      </c>
      <c r="BN53" s="20"/>
      <c r="BO53" s="57" t="s">
        <v>130</v>
      </c>
      <c r="BP53" s="20"/>
      <c r="BQ53" s="261" t="s">
        <v>203</v>
      </c>
      <c r="BR53" s="239" t="s">
        <v>150</v>
      </c>
      <c r="BS53" s="261" t="s">
        <v>203</v>
      </c>
      <c r="BT53" s="105"/>
      <c r="BU53" s="239" t="s">
        <v>150</v>
      </c>
      <c r="BV53" s="239" t="s">
        <v>150</v>
      </c>
      <c r="BW53" s="147">
        <f>(R45)</f>
        <v>0.39</v>
      </c>
      <c r="BX53" s="239" t="s">
        <v>150</v>
      </c>
      <c r="BY53" s="105"/>
      <c r="BZ53" s="105">
        <v>0</v>
      </c>
      <c r="CA53" s="149" t="s">
        <v>207</v>
      </c>
      <c r="CB53" s="105" t="s">
        <v>23</v>
      </c>
      <c r="CC53" s="27"/>
      <c r="CP53" s="4"/>
    </row>
    <row r="54" spans="1:94" ht="18" customHeight="1">
      <c r="A54" s="4"/>
      <c r="C54" s="4"/>
      <c r="D54" s="4"/>
      <c r="E54" s="4"/>
      <c r="F54" s="4"/>
      <c r="G54" s="4"/>
      <c r="H54" s="4"/>
      <c r="I54" s="4"/>
      <c r="K54" s="4"/>
      <c r="L54" s="4"/>
      <c r="M54" s="4"/>
      <c r="O54" s="4"/>
      <c r="Q54" s="4"/>
      <c r="R54" s="4"/>
      <c r="S54" s="4"/>
      <c r="U54" s="4"/>
      <c r="V54" s="4"/>
      <c r="W54" s="4"/>
      <c r="Y54" s="4"/>
      <c r="Z54" s="4"/>
      <c r="AA54" s="4"/>
      <c r="AC54" s="4"/>
      <c r="AD54" s="4"/>
      <c r="AE54" s="4"/>
      <c r="AG54" s="4"/>
      <c r="AI54" s="4"/>
      <c r="AJ54" s="4"/>
      <c r="AK54" s="4"/>
      <c r="AL54" s="4"/>
      <c r="AM54" s="4"/>
      <c r="AN54" s="4"/>
      <c r="AO54" s="4"/>
      <c r="AQ54" s="4"/>
      <c r="AR54" s="4"/>
      <c r="AS54" s="4"/>
      <c r="AT54" s="4"/>
      <c r="AU54" s="4"/>
      <c r="AV54" s="4"/>
      <c r="AX54" s="4"/>
      <c r="AY54" s="4"/>
      <c r="AZ54" s="4"/>
      <c r="BA54" s="4"/>
      <c r="BB54" s="4"/>
      <c r="BC54" s="4"/>
      <c r="BD54" s="4"/>
      <c r="BE54" s="4"/>
      <c r="BG54" s="4"/>
      <c r="BH54" s="4"/>
      <c r="BI54" s="4"/>
      <c r="BK54" s="4"/>
      <c r="BL54" s="19"/>
      <c r="BM54" s="26" t="s">
        <v>86</v>
      </c>
      <c r="BN54" s="20"/>
      <c r="BO54" s="154" t="s">
        <v>131</v>
      </c>
      <c r="BP54" s="20"/>
      <c r="BQ54" s="260" t="s">
        <v>203</v>
      </c>
      <c r="BR54" s="238" t="s">
        <v>150</v>
      </c>
      <c r="BS54" s="260" t="s">
        <v>203</v>
      </c>
      <c r="BT54" s="105"/>
      <c r="BU54" s="238" t="s">
        <v>150</v>
      </c>
      <c r="BV54" s="238" t="s">
        <v>150</v>
      </c>
      <c r="BW54" s="262">
        <v>0.86</v>
      </c>
      <c r="BX54" s="262" t="s">
        <v>44</v>
      </c>
      <c r="BY54" s="105"/>
      <c r="BZ54" s="238" t="s">
        <v>150</v>
      </c>
      <c r="CA54" s="158" t="s">
        <v>207</v>
      </c>
      <c r="CB54" s="156" t="s">
        <v>23</v>
      </c>
      <c r="CC54" s="27"/>
      <c r="CP54" s="4"/>
    </row>
    <row r="55" spans="1:94" ht="18" customHeight="1">
      <c r="A55" s="3"/>
      <c r="C55" s="3"/>
      <c r="D55" s="3"/>
      <c r="E55" s="3"/>
      <c r="F55" s="3"/>
      <c r="G55" s="3"/>
      <c r="H55" s="3"/>
      <c r="I55" s="3"/>
      <c r="K55" s="3"/>
      <c r="L55" s="3"/>
      <c r="M55" s="3"/>
      <c r="O55" s="3"/>
      <c r="Q55" s="3"/>
      <c r="R55" s="3"/>
      <c r="S55" s="3"/>
      <c r="U55" s="3"/>
      <c r="V55" s="3"/>
      <c r="W55" s="3"/>
      <c r="Y55" s="3"/>
      <c r="Z55" s="3"/>
      <c r="AA55" s="3"/>
      <c r="AC55" s="3"/>
      <c r="AD55" s="3"/>
      <c r="AE55" s="3"/>
      <c r="AG55" s="4"/>
      <c r="AI55" s="4"/>
      <c r="AJ55" s="4"/>
      <c r="AK55" s="4"/>
      <c r="AL55" s="4"/>
      <c r="AM55" s="4"/>
      <c r="AN55" s="4"/>
      <c r="AO55" s="4"/>
      <c r="AQ55" s="4"/>
      <c r="AR55" s="4"/>
      <c r="AS55" s="4"/>
      <c r="AT55" s="4"/>
      <c r="AU55" s="4"/>
      <c r="AV55" s="4"/>
      <c r="AX55" s="4"/>
      <c r="AY55" s="4"/>
      <c r="AZ55" s="4"/>
      <c r="BA55" s="4"/>
      <c r="BB55" s="4"/>
      <c r="BC55" s="4"/>
      <c r="BD55" s="4"/>
      <c r="BE55" s="4"/>
      <c r="BG55" s="4"/>
      <c r="BH55" s="4"/>
      <c r="BI55" s="4"/>
      <c r="BK55" s="4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4"/>
    </row>
    <row r="56" spans="1:94" ht="18" customHeight="1">
      <c r="A56" s="3"/>
      <c r="C56" s="3"/>
      <c r="D56" s="3"/>
      <c r="E56" s="3"/>
      <c r="F56" s="3"/>
      <c r="G56" s="3"/>
      <c r="H56" s="3"/>
      <c r="I56" s="3"/>
      <c r="K56" s="3"/>
      <c r="L56" s="3"/>
      <c r="M56" s="3"/>
      <c r="O56" s="3"/>
      <c r="Q56" s="3"/>
      <c r="R56" s="3"/>
      <c r="S56" s="3"/>
      <c r="U56" s="3"/>
      <c r="V56" s="3"/>
      <c r="W56" s="3"/>
      <c r="Y56" s="3"/>
      <c r="Z56" s="3"/>
      <c r="AA56" s="3"/>
      <c r="AC56" s="3"/>
      <c r="AD56" s="3"/>
      <c r="AE56" s="3"/>
      <c r="AG56" s="4"/>
      <c r="AI56" s="4"/>
      <c r="AJ56" s="4"/>
      <c r="AK56" s="4"/>
      <c r="AL56" s="4"/>
      <c r="AM56" s="4"/>
      <c r="AN56" s="4"/>
      <c r="AO56" s="4"/>
      <c r="AQ56" s="4"/>
      <c r="AR56" s="4"/>
      <c r="AS56" s="4"/>
      <c r="AT56" s="4"/>
      <c r="AU56" s="4"/>
      <c r="AV56" s="4"/>
      <c r="AX56" s="4"/>
      <c r="AY56" s="4"/>
      <c r="AZ56" s="4"/>
      <c r="BA56" s="4"/>
      <c r="BB56" s="4"/>
      <c r="BC56" s="4"/>
      <c r="BD56" s="4"/>
      <c r="BE56" s="4"/>
      <c r="BG56" s="4"/>
      <c r="BH56" s="4"/>
      <c r="BI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P56" s="4"/>
    </row>
    <row r="57" spans="1:94" ht="18" customHeight="1">
      <c r="A57" s="4"/>
      <c r="B57" s="4"/>
      <c r="C57" s="4"/>
      <c r="D57" s="4"/>
      <c r="E57" s="4"/>
      <c r="F57" s="4"/>
      <c r="G57" s="4"/>
      <c r="H57" s="4"/>
      <c r="I57" s="4"/>
      <c r="K57" s="4"/>
      <c r="L57" s="4"/>
      <c r="M57" s="4"/>
      <c r="O57" s="4"/>
      <c r="Q57" s="3"/>
      <c r="R57" s="3"/>
      <c r="S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P57" s="4"/>
    </row>
    <row r="58" spans="1:94" ht="18" customHeight="1">
      <c r="A58" s="4"/>
      <c r="B58" s="4"/>
      <c r="C58" s="4"/>
      <c r="D58" s="4"/>
      <c r="E58" s="4"/>
      <c r="F58" s="4"/>
      <c r="G58" s="4"/>
      <c r="H58" s="4"/>
      <c r="I58" s="4"/>
      <c r="K58" s="4"/>
      <c r="L58" s="4"/>
      <c r="M58" s="4"/>
      <c r="O58" s="4"/>
      <c r="Q58" s="3"/>
      <c r="R58" s="3"/>
      <c r="S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P58" s="4"/>
    </row>
    <row r="59" spans="1:94" ht="18" customHeight="1">
      <c r="A59" s="4"/>
      <c r="B59" s="4"/>
      <c r="C59" s="4"/>
      <c r="D59" s="4"/>
      <c r="E59" s="4"/>
      <c r="F59" s="4"/>
      <c r="G59" s="4"/>
      <c r="H59" s="4"/>
      <c r="I59" s="4"/>
      <c r="K59" s="4"/>
      <c r="L59" s="4"/>
      <c r="M59" s="4"/>
      <c r="N59" s="4"/>
      <c r="O59" s="4"/>
      <c r="P59" s="283"/>
      <c r="Q59" s="3"/>
      <c r="R59" s="3"/>
      <c r="S59" s="3"/>
      <c r="T59" s="28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5" customHeight="1">
      <c r="A60" s="4"/>
      <c r="B60" s="4"/>
      <c r="C60" s="4"/>
      <c r="D60" s="4"/>
      <c r="E60" s="4"/>
      <c r="F60" s="4"/>
      <c r="G60" s="4"/>
      <c r="H60" s="4"/>
      <c r="I60" s="4"/>
      <c r="K60" s="4"/>
      <c r="L60" s="4"/>
      <c r="M60" s="4"/>
      <c r="N60" s="4"/>
      <c r="O60" s="4"/>
      <c r="P60" s="283"/>
      <c r="Q60" s="4"/>
      <c r="R60" s="4"/>
      <c r="S60" s="4"/>
      <c r="T60" s="28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16:93" ht="15" customHeight="1">
      <c r="P61" s="285"/>
      <c r="T61" s="285"/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16:93" ht="15" customHeight="1">
      <c r="P62" s="285"/>
      <c r="T62" s="285"/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16:93" ht="15" customHeight="1">
      <c r="P63" s="285"/>
      <c r="T63" s="285"/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16:93" ht="15" customHeight="1">
      <c r="P64" s="285"/>
      <c r="T64" s="285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16:93" ht="15" customHeight="1">
      <c r="P65" s="285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 password="CCAE" sheet="1" objects="1" scenarios="1"/>
  <mergeCells count="32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Q12:Q24"/>
    <mergeCell ref="R12:R24"/>
    <mergeCell ref="S12:S24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190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June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June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1">
        <v>1894978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5">
        <v>1897684</v>
      </c>
      <c r="D12" s="138">
        <f aca="true" t="shared" si="0" ref="D12:D42">(IF(C12=0," ",((C12-C11)/1000)))</f>
        <v>2.706</v>
      </c>
      <c r="E12" s="140">
        <v>4.2</v>
      </c>
      <c r="F12" s="141">
        <v>0.8</v>
      </c>
      <c r="G12" s="81" t="str">
        <f>(IF(C12=0," ","0.00"))</f>
        <v>0.00</v>
      </c>
      <c r="H12" s="85">
        <v>0</v>
      </c>
      <c r="I12" s="86">
        <v>0</v>
      </c>
      <c r="K12" s="87" t="s">
        <v>213</v>
      </c>
      <c r="L12" s="85">
        <v>57</v>
      </c>
      <c r="M12" s="88">
        <v>0.19</v>
      </c>
      <c r="O12" s="89"/>
      <c r="Q12" s="108">
        <v>21</v>
      </c>
      <c r="R12" s="153">
        <v>0.27</v>
      </c>
      <c r="S12" s="92"/>
      <c r="U12" s="93">
        <v>7.1</v>
      </c>
      <c r="V12" s="94">
        <v>7</v>
      </c>
      <c r="W12" s="95">
        <v>6.2</v>
      </c>
      <c r="Y12" s="90">
        <v>12</v>
      </c>
      <c r="Z12" s="96">
        <v>13</v>
      </c>
      <c r="AA12" s="92">
        <v>14</v>
      </c>
      <c r="AC12" s="93">
        <v>4</v>
      </c>
      <c r="AD12" s="91">
        <v>0.01</v>
      </c>
      <c r="AE12" s="97">
        <v>0</v>
      </c>
      <c r="AG12" s="45">
        <f aca="true" t="shared" si="1" ref="AG12:AG42">($A12)</f>
        <v>1</v>
      </c>
      <c r="AI12" s="98"/>
      <c r="AJ12" s="55">
        <f aca="true" t="shared" si="2" ref="AJ12:AJ42">IF(AI12=0,"",(D12*AI12*8.34))</f>
      </c>
      <c r="AK12" s="98"/>
      <c r="AL12" s="55">
        <f aca="true" t="shared" si="3" ref="AL12:AL42">IF(AK12=0,"",(D12*AK12*8.34))</f>
      </c>
      <c r="AM12" s="98"/>
      <c r="AN12" s="55">
        <f aca="true" t="shared" si="4" ref="AN12:AN42">IF(AM12=0,"",(D12*AM12*8.34))</f>
      </c>
      <c r="AO12" s="99"/>
      <c r="AQ12" s="100"/>
      <c r="AR12" s="55">
        <f aca="true" t="shared" si="5" ref="AR12:AR42">IF(AQ12=0,"",(D12*AQ12*8.34))</f>
      </c>
      <c r="AS12" s="98"/>
      <c r="AT12" s="55">
        <f aca="true" t="shared" si="6" ref="AT12:AT42">IF(AS12=0,"",(D12*AS12*8.34))</f>
      </c>
      <c r="AU12" s="98"/>
      <c r="AV12" s="55">
        <f aca="true" t="shared" si="7" ref="AV12:AV42">IF(AU12=0,"",(D12*AU12*8.34))</f>
      </c>
      <c r="AX12" s="100"/>
      <c r="AY12" s="101"/>
      <c r="AZ12" s="102"/>
      <c r="BA12" s="98"/>
      <c r="BB12" s="102"/>
      <c r="BC12" s="98"/>
      <c r="BD12" s="98"/>
      <c r="BE12" s="103"/>
      <c r="BG12" s="100"/>
      <c r="BH12" s="84"/>
      <c r="BI12" s="104"/>
      <c r="BK12" s="17"/>
      <c r="BL12" s="19"/>
      <c r="BM12" s="56" t="s">
        <v>117</v>
      </c>
      <c r="BN12" s="20"/>
      <c r="BO12" s="57" t="s">
        <v>130</v>
      </c>
      <c r="BP12" s="26"/>
      <c r="BQ12" s="150">
        <f>(IF(((SUM(AN12:AN42))=0)," ",(AVERAGE(AN12:AN42))))</f>
        <v>327.59798</v>
      </c>
      <c r="BR12" s="150">
        <f>MAX(AN12:AN42)</f>
        <v>446.6904</v>
      </c>
      <c r="BS12" s="105" t="s">
        <v>126</v>
      </c>
      <c r="BT12" s="105"/>
      <c r="BU12" s="150">
        <f>(IF(((SUM(AM12:AM42))=0)," ",(AVERAGE(AM12:AM42))))</f>
        <v>15.666666666666666</v>
      </c>
      <c r="BV12" s="144">
        <f>(CG23)</f>
        <v>18.333333333333332</v>
      </c>
      <c r="BW12" s="150">
        <f>MAX(AM12:AM42)</f>
        <v>22</v>
      </c>
      <c r="BX12" s="105" t="s">
        <v>128</v>
      </c>
      <c r="BY12" s="105"/>
      <c r="BZ12" s="105">
        <v>0</v>
      </c>
      <c r="CA12" s="145" t="s">
        <v>47</v>
      </c>
      <c r="CB12" s="105">
        <v>24</v>
      </c>
      <c r="CC12" s="137"/>
      <c r="CE12" s="24"/>
      <c r="CF12" s="20" t="s">
        <v>138</v>
      </c>
      <c r="CG12" s="106">
        <f>(IF(((SUM(AM12:AM18))=0)," ",(AVERAGE(AM12:AM18))))</f>
        <v>16.666666666666668</v>
      </c>
      <c r="CH12" s="106">
        <f>(IF(((SUM(AN12:AN18))=0)," ",(AVERAGE(AN12:AN18))))</f>
        <v>365.41432000000003</v>
      </c>
      <c r="CI12" s="106"/>
      <c r="CJ12" s="106">
        <f>(IF(((SUM(AU12:AU18))=0)," ",(AVERAGE(AU12:AU18))))</f>
        <v>23.666666666666668</v>
      </c>
      <c r="CK12" s="106">
        <f>(IF(((SUM(AV12:AV18))=0)," ",(AVERAGE(AV12:AV18))))</f>
        <v>518.4811199999999</v>
      </c>
      <c r="CL12" s="240"/>
      <c r="CM12" s="152">
        <f>(AVERAGE(AE12:AE18))</f>
        <v>0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5">
        <v>1900334</v>
      </c>
      <c r="D13" s="138">
        <f t="shared" si="0"/>
        <v>2.65</v>
      </c>
      <c r="E13" s="140">
        <v>4</v>
      </c>
      <c r="F13" s="141">
        <v>1</v>
      </c>
      <c r="G13" s="81" t="str">
        <f aca="true" t="shared" si="8" ref="G13:G42">(IF(C13=0," ","0.00"))</f>
        <v>0.00</v>
      </c>
      <c r="H13" s="85">
        <v>13200</v>
      </c>
      <c r="I13" s="86">
        <v>7750</v>
      </c>
      <c r="K13" s="87" t="s">
        <v>210</v>
      </c>
      <c r="L13" s="85">
        <v>61</v>
      </c>
      <c r="M13" s="88">
        <v>0</v>
      </c>
      <c r="O13" s="107"/>
      <c r="Q13" s="108">
        <v>21</v>
      </c>
      <c r="R13" s="153">
        <v>0.23</v>
      </c>
      <c r="S13" s="109">
        <v>27</v>
      </c>
      <c r="U13" s="93">
        <v>7.1</v>
      </c>
      <c r="V13" s="94">
        <v>6.9</v>
      </c>
      <c r="W13" s="95">
        <v>6.4</v>
      </c>
      <c r="Y13" s="90">
        <v>13</v>
      </c>
      <c r="Z13" s="96">
        <v>13</v>
      </c>
      <c r="AA13" s="92">
        <v>14</v>
      </c>
      <c r="AC13" s="93">
        <v>6</v>
      </c>
      <c r="AD13" s="91">
        <v>0.01</v>
      </c>
      <c r="AE13" s="97">
        <v>0</v>
      </c>
      <c r="AG13" s="45">
        <f t="shared" si="1"/>
        <v>2</v>
      </c>
      <c r="AI13" s="98"/>
      <c r="AJ13" s="55">
        <f t="shared" si="2"/>
      </c>
      <c r="AK13" s="98"/>
      <c r="AL13" s="55">
        <f t="shared" si="3"/>
      </c>
      <c r="AM13" s="98"/>
      <c r="AN13" s="55">
        <f t="shared" si="4"/>
      </c>
      <c r="AO13" s="110"/>
      <c r="AQ13" s="100"/>
      <c r="AR13" s="55">
        <f t="shared" si="5"/>
      </c>
      <c r="AS13" s="98"/>
      <c r="AT13" s="55">
        <f t="shared" si="6"/>
      </c>
      <c r="AU13" s="98"/>
      <c r="AV13" s="55">
        <f t="shared" si="7"/>
      </c>
      <c r="AX13" s="100">
        <v>59524</v>
      </c>
      <c r="AY13" s="101">
        <v>4</v>
      </c>
      <c r="AZ13" s="102">
        <v>3.75</v>
      </c>
      <c r="BA13" s="98">
        <v>43.4</v>
      </c>
      <c r="BB13" s="102">
        <v>28</v>
      </c>
      <c r="BC13" s="98">
        <v>24</v>
      </c>
      <c r="BD13" s="98"/>
      <c r="BE13" s="103"/>
      <c r="BG13" s="100">
        <v>24</v>
      </c>
      <c r="BH13" s="84" t="s">
        <v>212</v>
      </c>
      <c r="BI13" s="104" t="s">
        <v>211</v>
      </c>
      <c r="BK13" s="17"/>
      <c r="BL13" s="19"/>
      <c r="BM13" s="26" t="s">
        <v>86</v>
      </c>
      <c r="BN13" s="20"/>
      <c r="BO13" s="154" t="s">
        <v>131</v>
      </c>
      <c r="BP13" s="26"/>
      <c r="BQ13" s="237">
        <v>963</v>
      </c>
      <c r="BR13" s="237">
        <v>1605</v>
      </c>
      <c r="BS13" s="156" t="s">
        <v>126</v>
      </c>
      <c r="BT13" s="105"/>
      <c r="BU13" s="237">
        <v>30</v>
      </c>
      <c r="BV13" s="157">
        <v>45</v>
      </c>
      <c r="BW13" s="237">
        <v>50</v>
      </c>
      <c r="BX13" s="156" t="s">
        <v>128</v>
      </c>
      <c r="BY13" s="105"/>
      <c r="BZ13" s="238" t="s">
        <v>150</v>
      </c>
      <c r="CA13" s="158" t="s">
        <v>47</v>
      </c>
      <c r="CB13" s="156">
        <v>24</v>
      </c>
      <c r="CC13" s="137"/>
      <c r="CE13" s="24"/>
      <c r="CF13" s="20"/>
      <c r="CG13" s="106"/>
      <c r="CH13" s="106"/>
      <c r="CI13" s="106"/>
      <c r="CJ13" s="106"/>
      <c r="CK13" s="106"/>
      <c r="CL13" s="240"/>
      <c r="CM13" s="152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5">
        <v>1903068</v>
      </c>
      <c r="D14" s="138">
        <f t="shared" si="0"/>
        <v>2.734</v>
      </c>
      <c r="E14" s="140">
        <v>4</v>
      </c>
      <c r="F14" s="141">
        <v>0.8</v>
      </c>
      <c r="G14" s="81" t="str">
        <f t="shared" si="8"/>
        <v>0.00</v>
      </c>
      <c r="H14" s="85">
        <v>7300</v>
      </c>
      <c r="I14" s="86">
        <v>6000</v>
      </c>
      <c r="K14" s="87" t="s">
        <v>210</v>
      </c>
      <c r="L14" s="85">
        <v>62</v>
      </c>
      <c r="M14" s="88">
        <v>0</v>
      </c>
      <c r="O14" s="107"/>
      <c r="Q14" s="108">
        <v>21</v>
      </c>
      <c r="R14" s="153">
        <v>0.26</v>
      </c>
      <c r="S14" s="109">
        <v>56</v>
      </c>
      <c r="U14" s="93">
        <v>7.2</v>
      </c>
      <c r="V14" s="94">
        <v>7</v>
      </c>
      <c r="W14" s="95">
        <v>6.3</v>
      </c>
      <c r="Y14" s="90">
        <v>14</v>
      </c>
      <c r="Z14" s="96">
        <v>14</v>
      </c>
      <c r="AA14" s="92">
        <v>15</v>
      </c>
      <c r="AC14" s="93">
        <v>5</v>
      </c>
      <c r="AD14" s="91">
        <v>0.01</v>
      </c>
      <c r="AE14" s="97">
        <v>0</v>
      </c>
      <c r="AG14" s="45">
        <f t="shared" si="1"/>
        <v>3</v>
      </c>
      <c r="AI14" s="98"/>
      <c r="AJ14" s="55">
        <f t="shared" si="2"/>
      </c>
      <c r="AK14" s="98"/>
      <c r="AL14" s="55">
        <f t="shared" si="3"/>
      </c>
      <c r="AM14" s="98"/>
      <c r="AN14" s="55">
        <f t="shared" si="4"/>
      </c>
      <c r="AO14" s="110"/>
      <c r="AQ14" s="100"/>
      <c r="AR14" s="55">
        <f t="shared" si="5"/>
      </c>
      <c r="AS14" s="98"/>
      <c r="AT14" s="55">
        <f t="shared" si="6"/>
      </c>
      <c r="AU14" s="98"/>
      <c r="AV14" s="55">
        <f t="shared" si="7"/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(IF(((SUM(AM19:AM25))=0)," ",(AVERAGE(AM19:AM25))))</f>
        <v>18.333333333333332</v>
      </c>
      <c r="CH14" s="106">
        <f>(IF(((SUM(AN19:AN25))=0)," ",(AVERAGE(AN19:AN25))))</f>
        <v>385.24406</v>
      </c>
      <c r="CI14" s="106"/>
      <c r="CJ14" s="106">
        <f>(IF(((SUM(AU19:AU25))=0)," ",(AVERAGE(AU19:AU25))))</f>
        <v>20.666666666666668</v>
      </c>
      <c r="CK14" s="106">
        <f>(IF(((SUM(AV19:AV25))=0)," ",(AVERAGE(AV19:AV25))))</f>
        <v>434.37221999999997</v>
      </c>
      <c r="CL14" s="240"/>
      <c r="CM14" s="152">
        <f>(AVERAGE(AE19:AE25))</f>
        <v>0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5">
        <v>1905649</v>
      </c>
      <c r="D15" s="138">
        <f t="shared" si="0"/>
        <v>2.581</v>
      </c>
      <c r="E15" s="140">
        <v>4.2</v>
      </c>
      <c r="F15" s="141">
        <v>1</v>
      </c>
      <c r="G15" s="81" t="str">
        <f t="shared" si="8"/>
        <v>0.00</v>
      </c>
      <c r="H15" s="85">
        <v>5000</v>
      </c>
      <c r="I15" s="86">
        <v>9500</v>
      </c>
      <c r="K15" s="87" t="s">
        <v>210</v>
      </c>
      <c r="L15" s="85">
        <v>58</v>
      </c>
      <c r="M15" s="88">
        <v>0</v>
      </c>
      <c r="O15" s="107"/>
      <c r="Q15" s="108">
        <v>21</v>
      </c>
      <c r="R15" s="153">
        <v>0.24</v>
      </c>
      <c r="S15" s="109">
        <v>12</v>
      </c>
      <c r="U15" s="93">
        <v>8.1</v>
      </c>
      <c r="V15" s="94">
        <v>7.2</v>
      </c>
      <c r="W15" s="95">
        <v>6.3</v>
      </c>
      <c r="Y15" s="90">
        <v>15</v>
      </c>
      <c r="Z15" s="96">
        <v>14</v>
      </c>
      <c r="AA15" s="92">
        <v>15</v>
      </c>
      <c r="AC15" s="93">
        <v>4</v>
      </c>
      <c r="AD15" s="91">
        <v>0.01</v>
      </c>
      <c r="AE15" s="97">
        <v>0</v>
      </c>
      <c r="AG15" s="45">
        <f t="shared" si="1"/>
        <v>4</v>
      </c>
      <c r="AI15" s="98">
        <v>227</v>
      </c>
      <c r="AJ15" s="55">
        <f t="shared" si="2"/>
        <v>4886.2975799999995</v>
      </c>
      <c r="AK15" s="98"/>
      <c r="AL15" s="55">
        <f t="shared" si="3"/>
      </c>
      <c r="AM15" s="98">
        <v>14</v>
      </c>
      <c r="AN15" s="55">
        <f t="shared" si="4"/>
        <v>301.35756</v>
      </c>
      <c r="AO15" s="110">
        <v>10</v>
      </c>
      <c r="AQ15" s="100">
        <v>240</v>
      </c>
      <c r="AR15" s="55">
        <f t="shared" si="5"/>
        <v>5166.129599999999</v>
      </c>
      <c r="AS15" s="98"/>
      <c r="AT15" s="55">
        <f t="shared" si="6"/>
      </c>
      <c r="AU15" s="98">
        <v>22</v>
      </c>
      <c r="AV15" s="55">
        <f t="shared" si="7"/>
        <v>473.56188</v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106"/>
      <c r="CH15" s="106"/>
      <c r="CI15" s="106"/>
      <c r="CJ15" s="106"/>
      <c r="CK15" s="106"/>
      <c r="CL15" s="240"/>
      <c r="CM15" s="152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3">
        <v>1908291</v>
      </c>
      <c r="D16" s="139">
        <f t="shared" si="0"/>
        <v>2.642</v>
      </c>
      <c r="E16" s="142">
        <v>3.8</v>
      </c>
      <c r="F16" s="143">
        <v>1</v>
      </c>
      <c r="G16" s="184" t="str">
        <f t="shared" si="8"/>
        <v>0.00</v>
      </c>
      <c r="H16" s="113">
        <v>1000</v>
      </c>
      <c r="I16" s="114">
        <v>6250</v>
      </c>
      <c r="K16" s="115" t="s">
        <v>208</v>
      </c>
      <c r="L16" s="113">
        <v>55</v>
      </c>
      <c r="M16" s="116">
        <v>0.4</v>
      </c>
      <c r="O16" s="117"/>
      <c r="Q16" s="257">
        <v>22</v>
      </c>
      <c r="R16" s="258">
        <v>0.21</v>
      </c>
      <c r="S16" s="263"/>
      <c r="U16" s="118">
        <v>7.6</v>
      </c>
      <c r="V16" s="119">
        <v>6.9</v>
      </c>
      <c r="W16" s="120">
        <v>6.2</v>
      </c>
      <c r="Y16" s="121">
        <v>14</v>
      </c>
      <c r="Z16" s="122">
        <v>14</v>
      </c>
      <c r="AA16" s="123">
        <v>15</v>
      </c>
      <c r="AC16" s="118">
        <v>7.5</v>
      </c>
      <c r="AD16" s="124">
        <v>0.01</v>
      </c>
      <c r="AE16" s="125">
        <v>0</v>
      </c>
      <c r="AG16" s="45">
        <f t="shared" si="1"/>
        <v>5</v>
      </c>
      <c r="AI16" s="126">
        <v>250</v>
      </c>
      <c r="AJ16" s="65">
        <f t="shared" si="2"/>
        <v>5508.57</v>
      </c>
      <c r="AK16" s="126"/>
      <c r="AL16" s="65">
        <f t="shared" si="3"/>
      </c>
      <c r="AM16" s="126">
        <v>18</v>
      </c>
      <c r="AN16" s="65">
        <f t="shared" si="4"/>
        <v>396.61704</v>
      </c>
      <c r="AO16" s="127">
        <v>13</v>
      </c>
      <c r="AQ16" s="128">
        <v>254</v>
      </c>
      <c r="AR16" s="65">
        <f t="shared" si="5"/>
        <v>5596.70712</v>
      </c>
      <c r="AS16" s="126"/>
      <c r="AT16" s="65">
        <f t="shared" si="6"/>
      </c>
      <c r="AU16" s="126">
        <v>25</v>
      </c>
      <c r="AV16" s="65">
        <f t="shared" si="7"/>
        <v>550.857</v>
      </c>
      <c r="AX16" s="128">
        <v>52332</v>
      </c>
      <c r="AY16" s="129">
        <v>2</v>
      </c>
      <c r="AZ16" s="130">
        <v>3.5</v>
      </c>
      <c r="BA16" s="126">
        <v>31</v>
      </c>
      <c r="BB16" s="130">
        <v>27</v>
      </c>
      <c r="BC16" s="126">
        <v>20</v>
      </c>
      <c r="BD16" s="126"/>
      <c r="BE16" s="131"/>
      <c r="BG16" s="128">
        <v>20</v>
      </c>
      <c r="BH16" s="111" t="s">
        <v>212</v>
      </c>
      <c r="BI16" s="132" t="s">
        <v>211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(IF(((SUM(AM26:AM32))=0)," ",(AVERAGE(AM26:AM32))))</f>
        <v>14.666666666666666</v>
      </c>
      <c r="CH16" s="106">
        <f>(IF(((SUM(AN26:AN32))=0)," ",(AVERAGE(AN26:AN32))))</f>
        <v>298.03546</v>
      </c>
      <c r="CI16" s="106"/>
      <c r="CJ16" s="106">
        <f>(IF(((SUM(AU26:AU32))=0)," ",(AVERAGE(AU26:AU32))))</f>
        <v>19</v>
      </c>
      <c r="CK16" s="106">
        <f>(IF(((SUM(AV26:AV32))=0)," ",(AVERAGE(AV26:AV32))))</f>
        <v>385.13842</v>
      </c>
      <c r="CL16" s="240"/>
      <c r="CM16" s="152">
        <f>(AVERAGE(AE26:AE32))</f>
        <v>0.0014285714285714286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5">
        <v>1910944</v>
      </c>
      <c r="D17" s="138">
        <f t="shared" si="0"/>
        <v>2.653</v>
      </c>
      <c r="E17" s="140">
        <v>4</v>
      </c>
      <c r="F17" s="141">
        <v>1</v>
      </c>
      <c r="G17" s="81" t="str">
        <f t="shared" si="8"/>
        <v>0.00</v>
      </c>
      <c r="H17" s="85">
        <v>2200</v>
      </c>
      <c r="I17" s="86">
        <v>3000</v>
      </c>
      <c r="K17" s="87" t="s">
        <v>210</v>
      </c>
      <c r="L17" s="85">
        <v>66</v>
      </c>
      <c r="M17" s="88">
        <v>0</v>
      </c>
      <c r="O17" s="107"/>
      <c r="Q17" s="108">
        <v>23</v>
      </c>
      <c r="R17" s="153">
        <v>0.24</v>
      </c>
      <c r="S17" s="109"/>
      <c r="U17" s="93">
        <v>7.1</v>
      </c>
      <c r="V17" s="94">
        <v>6.9</v>
      </c>
      <c r="W17" s="95">
        <v>6.2</v>
      </c>
      <c r="Y17" s="90">
        <v>14</v>
      </c>
      <c r="Z17" s="96">
        <v>14</v>
      </c>
      <c r="AA17" s="92">
        <v>15</v>
      </c>
      <c r="AC17" s="93">
        <v>5</v>
      </c>
      <c r="AD17" s="91">
        <v>0.01</v>
      </c>
      <c r="AE17" s="97">
        <v>0</v>
      </c>
      <c r="AG17" s="45">
        <f t="shared" si="1"/>
        <v>6</v>
      </c>
      <c r="AI17" s="98">
        <v>278</v>
      </c>
      <c r="AJ17" s="55">
        <f t="shared" si="2"/>
        <v>6151.03356</v>
      </c>
      <c r="AK17" s="98">
        <v>172</v>
      </c>
      <c r="AL17" s="55">
        <f t="shared" si="3"/>
        <v>3805.67544</v>
      </c>
      <c r="AM17" s="98">
        <v>18</v>
      </c>
      <c r="AN17" s="55">
        <f t="shared" si="4"/>
        <v>398.26836</v>
      </c>
      <c r="AO17" s="110">
        <v>12</v>
      </c>
      <c r="AQ17" s="100">
        <v>288</v>
      </c>
      <c r="AR17" s="55">
        <f t="shared" si="5"/>
        <v>6372.29376</v>
      </c>
      <c r="AS17" s="98">
        <v>85</v>
      </c>
      <c r="AT17" s="55">
        <f t="shared" si="6"/>
        <v>1880.7116999999998</v>
      </c>
      <c r="AU17" s="98">
        <v>24</v>
      </c>
      <c r="AV17" s="55">
        <f t="shared" si="7"/>
        <v>531.0244799999999</v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39" t="s">
        <v>150</v>
      </c>
      <c r="BR17" s="239" t="s">
        <v>150</v>
      </c>
      <c r="BS17" s="239" t="s">
        <v>150</v>
      </c>
      <c r="BT17" s="105"/>
      <c r="BU17" s="146">
        <f>MIN(W12:W42)</f>
        <v>6.1</v>
      </c>
      <c r="BV17" s="239" t="s">
        <v>150</v>
      </c>
      <c r="BW17" s="146">
        <f>MAX(W12:W42)</f>
        <v>6.4</v>
      </c>
      <c r="BX17" s="105" t="s">
        <v>43</v>
      </c>
      <c r="BY17" s="105"/>
      <c r="BZ17" s="105">
        <v>0</v>
      </c>
      <c r="CA17" s="145" t="s">
        <v>48</v>
      </c>
      <c r="CB17" s="105" t="s">
        <v>23</v>
      </c>
      <c r="CC17" s="137"/>
      <c r="CE17" s="69"/>
      <c r="CF17" s="20"/>
      <c r="CG17" s="106"/>
      <c r="CH17" s="106"/>
      <c r="CI17" s="106"/>
      <c r="CJ17" s="106"/>
      <c r="CK17" s="106"/>
      <c r="CL17" s="241"/>
      <c r="CM17" s="152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5">
        <v>1913596</v>
      </c>
      <c r="D18" s="138">
        <f t="shared" si="0"/>
        <v>2.652</v>
      </c>
      <c r="E18" s="140">
        <v>3.9</v>
      </c>
      <c r="F18" s="141">
        <v>0.8</v>
      </c>
      <c r="G18" s="81" t="str">
        <f t="shared" si="8"/>
        <v>0.00</v>
      </c>
      <c r="H18" s="85">
        <v>0</v>
      </c>
      <c r="I18" s="86">
        <v>1000</v>
      </c>
      <c r="K18" s="87" t="s">
        <v>210</v>
      </c>
      <c r="L18" s="85">
        <v>60</v>
      </c>
      <c r="M18" s="88">
        <v>0</v>
      </c>
      <c r="O18" s="107"/>
      <c r="Q18" s="108">
        <v>21</v>
      </c>
      <c r="R18" s="153">
        <v>0.21</v>
      </c>
      <c r="S18" s="109"/>
      <c r="U18" s="93">
        <v>7</v>
      </c>
      <c r="V18" s="94">
        <v>7</v>
      </c>
      <c r="W18" s="95">
        <v>6.3</v>
      </c>
      <c r="Y18" s="90">
        <v>14</v>
      </c>
      <c r="Z18" s="96">
        <v>14</v>
      </c>
      <c r="AA18" s="92">
        <v>15</v>
      </c>
      <c r="AC18" s="93">
        <v>4.5</v>
      </c>
      <c r="AD18" s="91">
        <v>0.01</v>
      </c>
      <c r="AE18" s="97">
        <v>0</v>
      </c>
      <c r="AG18" s="45">
        <f t="shared" si="1"/>
        <v>7</v>
      </c>
      <c r="AI18" s="98"/>
      <c r="AJ18" s="55">
        <f t="shared" si="2"/>
      </c>
      <c r="AK18" s="98"/>
      <c r="AL18" s="55">
        <f t="shared" si="3"/>
      </c>
      <c r="AM18" s="98"/>
      <c r="AN18" s="55">
        <f t="shared" si="4"/>
      </c>
      <c r="AO18" s="110"/>
      <c r="AQ18" s="100"/>
      <c r="AR18" s="55">
        <f t="shared" si="5"/>
      </c>
      <c r="AS18" s="98"/>
      <c r="AT18" s="55">
        <f t="shared" si="6"/>
      </c>
      <c r="AU18" s="98"/>
      <c r="AV18" s="55">
        <f t="shared" si="7"/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38" t="s">
        <v>150</v>
      </c>
      <c r="BR18" s="238" t="s">
        <v>150</v>
      </c>
      <c r="BS18" s="238" t="s">
        <v>150</v>
      </c>
      <c r="BT18" s="105"/>
      <c r="BU18" s="159">
        <v>6</v>
      </c>
      <c r="BV18" s="238" t="s">
        <v>150</v>
      </c>
      <c r="BW18" s="156">
        <v>8.5</v>
      </c>
      <c r="BX18" s="156" t="s">
        <v>43</v>
      </c>
      <c r="BY18" s="105"/>
      <c r="BZ18" s="238" t="s">
        <v>150</v>
      </c>
      <c r="CA18" s="158" t="s">
        <v>48</v>
      </c>
      <c r="CB18" s="156" t="s">
        <v>23</v>
      </c>
      <c r="CC18" s="137"/>
      <c r="CE18" s="69"/>
      <c r="CF18" s="20" t="s">
        <v>141</v>
      </c>
      <c r="CG18" s="106">
        <f>(IF(((SUM(AM33:AM39))=0)," ",(AVERAGE(AM33:AM39))))</f>
        <v>13</v>
      </c>
      <c r="CH18" s="106">
        <f>(IF(((SUM(AN33:AN39))=0)," ",(AVERAGE(AN33:AN39))))</f>
        <v>261.69808000000006</v>
      </c>
      <c r="CI18" s="106"/>
      <c r="CJ18" s="106">
        <f>(IF(((SUM(AU33:AU39))=0)," ",(AVERAGE(AU33:AU39))))</f>
        <v>24.333333333333332</v>
      </c>
      <c r="CK18" s="106">
        <f>(IF(((SUM(AV33:AV39))=0)," ",(AVERAGE(AV33:AV39))))</f>
        <v>490.81178</v>
      </c>
      <c r="CL18" s="241"/>
      <c r="CM18" s="152">
        <f>(AVERAGE(AE33:AE39))</f>
        <v>0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5">
        <v>1916016</v>
      </c>
      <c r="D19" s="138">
        <f t="shared" si="0"/>
        <v>2.42</v>
      </c>
      <c r="E19" s="140">
        <v>3.8</v>
      </c>
      <c r="F19" s="141">
        <v>0.8</v>
      </c>
      <c r="G19" s="81" t="str">
        <f t="shared" si="8"/>
        <v>0.00</v>
      </c>
      <c r="H19" s="85">
        <v>0</v>
      </c>
      <c r="I19" s="86">
        <v>3500</v>
      </c>
      <c r="K19" s="87" t="s">
        <v>208</v>
      </c>
      <c r="L19" s="85">
        <v>59</v>
      </c>
      <c r="M19" s="88">
        <v>0</v>
      </c>
      <c r="O19" s="107"/>
      <c r="Q19" s="108">
        <v>21</v>
      </c>
      <c r="R19" s="153">
        <v>0.2</v>
      </c>
      <c r="S19" s="109"/>
      <c r="U19" s="93">
        <v>7</v>
      </c>
      <c r="V19" s="94">
        <v>7</v>
      </c>
      <c r="W19" s="95">
        <v>6.3</v>
      </c>
      <c r="Y19" s="90">
        <v>15</v>
      </c>
      <c r="Z19" s="96">
        <v>15</v>
      </c>
      <c r="AA19" s="92">
        <v>16</v>
      </c>
      <c r="AC19" s="93">
        <v>3</v>
      </c>
      <c r="AD19" s="91">
        <v>0.01</v>
      </c>
      <c r="AE19" s="97">
        <v>0</v>
      </c>
      <c r="AG19" s="45">
        <f t="shared" si="1"/>
        <v>8</v>
      </c>
      <c r="AI19" s="98"/>
      <c r="AJ19" s="55">
        <f t="shared" si="2"/>
      </c>
      <c r="AK19" s="98"/>
      <c r="AL19" s="55">
        <f t="shared" si="3"/>
      </c>
      <c r="AM19" s="98"/>
      <c r="AN19" s="55">
        <f t="shared" si="4"/>
      </c>
      <c r="AO19" s="110"/>
      <c r="AQ19" s="100"/>
      <c r="AR19" s="55">
        <f t="shared" si="5"/>
      </c>
      <c r="AS19" s="98"/>
      <c r="AT19" s="55">
        <f t="shared" si="6"/>
      </c>
      <c r="AU19" s="98"/>
      <c r="AV19" s="55">
        <f t="shared" si="7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6"/>
      <c r="CH19" s="106"/>
      <c r="CI19" s="106"/>
      <c r="CJ19" s="106"/>
      <c r="CK19" s="106"/>
      <c r="CL19" s="241"/>
      <c r="CM19" s="152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5">
        <v>1918465</v>
      </c>
      <c r="D20" s="138">
        <f t="shared" si="0"/>
        <v>2.449</v>
      </c>
      <c r="E20" s="140">
        <v>4</v>
      </c>
      <c r="F20" s="141">
        <v>0.8</v>
      </c>
      <c r="G20" s="81" t="str">
        <f t="shared" si="8"/>
        <v>0.00</v>
      </c>
      <c r="H20" s="85">
        <v>5100</v>
      </c>
      <c r="I20" s="86">
        <v>2000</v>
      </c>
      <c r="K20" s="87" t="s">
        <v>208</v>
      </c>
      <c r="L20" s="85">
        <v>55</v>
      </c>
      <c r="M20" s="88">
        <v>0.03</v>
      </c>
      <c r="O20" s="107"/>
      <c r="Q20" s="108">
        <v>21</v>
      </c>
      <c r="R20" s="153">
        <v>0.26</v>
      </c>
      <c r="S20" s="109">
        <v>23</v>
      </c>
      <c r="U20" s="93">
        <v>7.1</v>
      </c>
      <c r="V20" s="94">
        <v>6.9</v>
      </c>
      <c r="W20" s="95">
        <v>6.3</v>
      </c>
      <c r="Y20" s="90">
        <v>14</v>
      </c>
      <c r="Z20" s="96">
        <v>14</v>
      </c>
      <c r="AA20" s="92">
        <v>15</v>
      </c>
      <c r="AC20" s="93">
        <v>8.5</v>
      </c>
      <c r="AD20" s="91">
        <v>0.01</v>
      </c>
      <c r="AE20" s="97">
        <v>0</v>
      </c>
      <c r="AG20" s="45">
        <f t="shared" si="1"/>
        <v>9</v>
      </c>
      <c r="AI20" s="98"/>
      <c r="AJ20" s="55">
        <f t="shared" si="2"/>
      </c>
      <c r="AK20" s="98"/>
      <c r="AL20" s="55">
        <f t="shared" si="3"/>
      </c>
      <c r="AM20" s="98"/>
      <c r="AN20" s="55">
        <f t="shared" si="4"/>
      </c>
      <c r="AO20" s="110"/>
      <c r="AQ20" s="100"/>
      <c r="AR20" s="55">
        <f t="shared" si="5"/>
      </c>
      <c r="AS20" s="98"/>
      <c r="AT20" s="55">
        <f t="shared" si="6"/>
      </c>
      <c r="AU20" s="98"/>
      <c r="AV20" s="55">
        <f t="shared" si="7"/>
      </c>
      <c r="AX20" s="100">
        <v>56246</v>
      </c>
      <c r="AY20" s="101">
        <v>6</v>
      </c>
      <c r="AZ20" s="102">
        <v>3.75</v>
      </c>
      <c r="BA20" s="98">
        <v>37.2</v>
      </c>
      <c r="BB20" s="102">
        <v>27</v>
      </c>
      <c r="BC20" s="98">
        <v>24</v>
      </c>
      <c r="BD20" s="98"/>
      <c r="BE20" s="103"/>
      <c r="BG20" s="100">
        <v>24</v>
      </c>
      <c r="BH20" s="84" t="s">
        <v>212</v>
      </c>
      <c r="BI20" s="104" t="s">
        <v>211</v>
      </c>
      <c r="CE20" s="69"/>
      <c r="CF20" s="20" t="s">
        <v>142</v>
      </c>
      <c r="CG20" s="106"/>
      <c r="CH20" s="106"/>
      <c r="CI20" s="106"/>
      <c r="CJ20" s="106"/>
      <c r="CK20" s="106"/>
      <c r="CL20" s="241"/>
      <c r="CM20" s="152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3">
        <v>1921000</v>
      </c>
      <c r="D21" s="139">
        <f t="shared" si="0"/>
        <v>2.535</v>
      </c>
      <c r="E21" s="142">
        <v>3.9</v>
      </c>
      <c r="F21" s="143">
        <v>1</v>
      </c>
      <c r="G21" s="184" t="str">
        <f t="shared" si="8"/>
        <v>0.00</v>
      </c>
      <c r="H21" s="113">
        <v>2000</v>
      </c>
      <c r="I21" s="114">
        <v>9250</v>
      </c>
      <c r="K21" s="115" t="s">
        <v>210</v>
      </c>
      <c r="L21" s="113">
        <v>63</v>
      </c>
      <c r="M21" s="116">
        <v>0</v>
      </c>
      <c r="O21" s="117"/>
      <c r="Q21" s="257">
        <v>22</v>
      </c>
      <c r="R21" s="258">
        <v>0.23</v>
      </c>
      <c r="S21" s="263">
        <v>22</v>
      </c>
      <c r="U21" s="118">
        <v>7.3</v>
      </c>
      <c r="V21" s="119">
        <v>7</v>
      </c>
      <c r="W21" s="120">
        <v>6.4</v>
      </c>
      <c r="Y21" s="121">
        <v>14</v>
      </c>
      <c r="Z21" s="122">
        <v>13</v>
      </c>
      <c r="AA21" s="123">
        <v>15</v>
      </c>
      <c r="AC21" s="118">
        <v>8.5</v>
      </c>
      <c r="AD21" s="124">
        <v>0.01</v>
      </c>
      <c r="AE21" s="125">
        <v>0</v>
      </c>
      <c r="AG21" s="45">
        <f t="shared" si="1"/>
        <v>10</v>
      </c>
      <c r="AI21" s="126"/>
      <c r="AJ21" s="65">
        <f t="shared" si="2"/>
      </c>
      <c r="AK21" s="126"/>
      <c r="AL21" s="65">
        <f t="shared" si="3"/>
      </c>
      <c r="AM21" s="126"/>
      <c r="AN21" s="65">
        <f t="shared" si="4"/>
      </c>
      <c r="AO21" s="127"/>
      <c r="AQ21" s="128"/>
      <c r="AR21" s="65">
        <f t="shared" si="5"/>
      </c>
      <c r="AS21" s="126"/>
      <c r="AT21" s="65">
        <f t="shared" si="6"/>
      </c>
      <c r="AU21" s="126"/>
      <c r="AV21" s="65">
        <f t="shared" si="7"/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5">
        <v>1923463</v>
      </c>
      <c r="D22" s="138">
        <f t="shared" si="0"/>
        <v>2.463</v>
      </c>
      <c r="E22" s="140">
        <v>4.6</v>
      </c>
      <c r="F22" s="141">
        <v>0.8</v>
      </c>
      <c r="G22" s="81" t="str">
        <f t="shared" si="8"/>
        <v>0.00</v>
      </c>
      <c r="H22" s="85">
        <v>1200</v>
      </c>
      <c r="I22" s="86">
        <v>6000</v>
      </c>
      <c r="K22" s="87" t="s">
        <v>210</v>
      </c>
      <c r="L22" s="85">
        <v>60</v>
      </c>
      <c r="M22" s="88">
        <v>0.02</v>
      </c>
      <c r="O22" s="107"/>
      <c r="Q22" s="108">
        <v>21</v>
      </c>
      <c r="R22" s="153">
        <v>0.21</v>
      </c>
      <c r="S22" s="109">
        <v>387</v>
      </c>
      <c r="U22" s="93">
        <v>7.2</v>
      </c>
      <c r="V22" s="94">
        <v>7</v>
      </c>
      <c r="W22" s="95">
        <v>6.4</v>
      </c>
      <c r="Y22" s="90">
        <v>14</v>
      </c>
      <c r="Z22" s="96">
        <v>14</v>
      </c>
      <c r="AA22" s="92">
        <v>15</v>
      </c>
      <c r="AC22" s="93">
        <v>4</v>
      </c>
      <c r="AD22" s="91">
        <v>0.01</v>
      </c>
      <c r="AE22" s="97">
        <v>0</v>
      </c>
      <c r="AG22" s="45">
        <f t="shared" si="1"/>
        <v>11</v>
      </c>
      <c r="AI22" s="98">
        <v>227</v>
      </c>
      <c r="AJ22" s="55">
        <f t="shared" si="2"/>
        <v>4662.90234</v>
      </c>
      <c r="AK22" s="98"/>
      <c r="AL22" s="55">
        <f t="shared" si="3"/>
      </c>
      <c r="AM22" s="98">
        <v>13</v>
      </c>
      <c r="AN22" s="55">
        <f t="shared" si="4"/>
        <v>267.03846</v>
      </c>
      <c r="AO22" s="110">
        <v>10</v>
      </c>
      <c r="AQ22" s="100">
        <v>218</v>
      </c>
      <c r="AR22" s="55">
        <f t="shared" si="5"/>
        <v>4478.02956</v>
      </c>
      <c r="AS22" s="98"/>
      <c r="AT22" s="55">
        <f t="shared" si="6"/>
      </c>
      <c r="AU22" s="98">
        <v>23</v>
      </c>
      <c r="AV22" s="55">
        <f t="shared" si="7"/>
        <v>472.45266</v>
      </c>
      <c r="AX22" s="100">
        <v>29061</v>
      </c>
      <c r="AY22" s="101">
        <v>3</v>
      </c>
      <c r="AZ22" s="102">
        <v>2</v>
      </c>
      <c r="BA22" s="98">
        <v>18.6</v>
      </c>
      <c r="BB22" s="102">
        <v>27</v>
      </c>
      <c r="BC22" s="98">
        <v>12</v>
      </c>
      <c r="BD22" s="98"/>
      <c r="BE22" s="103"/>
      <c r="BG22" s="100">
        <v>12</v>
      </c>
      <c r="BH22" s="84" t="s">
        <v>212</v>
      </c>
      <c r="BI22" s="104" t="s">
        <v>211</v>
      </c>
      <c r="BK22" s="17"/>
      <c r="BL22" s="19"/>
      <c r="BM22" s="56" t="s">
        <v>21</v>
      </c>
      <c r="BN22" s="20"/>
      <c r="BO22" s="57" t="s">
        <v>130</v>
      </c>
      <c r="BP22" s="26"/>
      <c r="BQ22" s="150">
        <f>(IF(((SUM(AV12:AV42))=0)," ",(AVERAGE(AV12:AV42))))</f>
        <v>457.2008849999999</v>
      </c>
      <c r="BR22" s="150">
        <f>MAX(AV12:AV42)</f>
        <v>594.73374</v>
      </c>
      <c r="BS22" s="105" t="s">
        <v>126</v>
      </c>
      <c r="BT22" s="105"/>
      <c r="BU22" s="150">
        <f>(IF(((SUM(AU12:AU42))=0)," ",(AVERAGE(AU12:AU42))))</f>
        <v>21.916666666666668</v>
      </c>
      <c r="BV22" s="144">
        <f>(CJ23)</f>
        <v>24.333333333333332</v>
      </c>
      <c r="BW22" s="150">
        <f>MAX(AU12:AU42)</f>
        <v>29</v>
      </c>
      <c r="BX22" s="105" t="s">
        <v>128</v>
      </c>
      <c r="BY22" s="105"/>
      <c r="BZ22" s="105">
        <v>0</v>
      </c>
      <c r="CA22" s="145" t="s">
        <v>47</v>
      </c>
      <c r="CB22" s="105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5">
        <v>1926141</v>
      </c>
      <c r="D23" s="138">
        <f t="shared" si="0"/>
        <v>2.678</v>
      </c>
      <c r="E23" s="140">
        <v>3.8</v>
      </c>
      <c r="F23" s="141">
        <v>0.8</v>
      </c>
      <c r="G23" s="81" t="str">
        <f t="shared" si="8"/>
        <v>0.00</v>
      </c>
      <c r="H23" s="85">
        <v>5200</v>
      </c>
      <c r="I23" s="86">
        <v>6500</v>
      </c>
      <c r="K23" s="87" t="s">
        <v>210</v>
      </c>
      <c r="L23" s="85">
        <v>65</v>
      </c>
      <c r="M23" s="88">
        <v>0</v>
      </c>
      <c r="O23" s="107"/>
      <c r="Q23" s="108">
        <v>24</v>
      </c>
      <c r="R23" s="153">
        <v>0.23</v>
      </c>
      <c r="S23" s="109"/>
      <c r="U23" s="93">
        <v>7.6</v>
      </c>
      <c r="V23" s="94">
        <v>7.1</v>
      </c>
      <c r="W23" s="95">
        <v>6.4</v>
      </c>
      <c r="Y23" s="90">
        <v>14</v>
      </c>
      <c r="Z23" s="96">
        <v>14</v>
      </c>
      <c r="AA23" s="92">
        <v>16</v>
      </c>
      <c r="AC23" s="93">
        <v>8</v>
      </c>
      <c r="AD23" s="91">
        <v>0.1</v>
      </c>
      <c r="AE23" s="97">
        <v>0</v>
      </c>
      <c r="AG23" s="45">
        <f t="shared" si="1"/>
        <v>12</v>
      </c>
      <c r="AI23" s="98">
        <v>308</v>
      </c>
      <c r="AJ23" s="55">
        <f t="shared" si="2"/>
        <v>6879.03216</v>
      </c>
      <c r="AK23" s="98"/>
      <c r="AL23" s="55">
        <f t="shared" si="3"/>
      </c>
      <c r="AM23" s="98">
        <v>20</v>
      </c>
      <c r="AN23" s="55">
        <f t="shared" si="4"/>
        <v>446.6904</v>
      </c>
      <c r="AO23" s="110">
        <v>14</v>
      </c>
      <c r="AQ23" s="100">
        <v>214</v>
      </c>
      <c r="AR23" s="55">
        <f t="shared" si="5"/>
        <v>4779.58728</v>
      </c>
      <c r="AS23" s="98"/>
      <c r="AT23" s="55">
        <f t="shared" si="6"/>
      </c>
      <c r="AU23" s="98">
        <v>21</v>
      </c>
      <c r="AV23" s="55">
        <f t="shared" si="7"/>
        <v>469.02492</v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37">
        <v>963</v>
      </c>
      <c r="BR23" s="237">
        <v>1605</v>
      </c>
      <c r="BS23" s="156" t="s">
        <v>126</v>
      </c>
      <c r="BT23" s="105"/>
      <c r="BU23" s="237">
        <v>30</v>
      </c>
      <c r="BV23" s="157">
        <v>45</v>
      </c>
      <c r="BW23" s="237">
        <v>50</v>
      </c>
      <c r="BX23" s="156" t="s">
        <v>128</v>
      </c>
      <c r="BY23" s="105"/>
      <c r="BZ23" s="238" t="s">
        <v>150</v>
      </c>
      <c r="CA23" s="158" t="s">
        <v>47</v>
      </c>
      <c r="CB23" s="156">
        <v>24</v>
      </c>
      <c r="CC23" s="137"/>
      <c r="CE23" s="69"/>
      <c r="CF23" s="72" t="s">
        <v>53</v>
      </c>
      <c r="CG23" s="150">
        <f>(IF(((SUM(CG12:CG20))=0)," ",(MAX(CG12:CG20))))</f>
        <v>18.333333333333332</v>
      </c>
      <c r="CH23" s="150">
        <f>(IF(((SUM(CH12:CH20))=0)," ",(MAX(CH12:CH20))))</f>
        <v>385.24406</v>
      </c>
      <c r="CI23" s="186"/>
      <c r="CJ23" s="150">
        <f>(IF(((SUM(CJ12:CJ20))=0)," ",(MAX(CJ12:CJ20))))</f>
        <v>24.333333333333332</v>
      </c>
      <c r="CK23" s="150">
        <f>(IF(((SUM(CK12:CK20))=0)," ",(MAX(CK12:CK20))))</f>
        <v>518.4811199999999</v>
      </c>
      <c r="CL23" s="71"/>
      <c r="CM23" s="280">
        <f>(MAX(CM12:CM20))</f>
        <v>0.0014285714285714286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5">
        <v>1928550</v>
      </c>
      <c r="D24" s="138">
        <f t="shared" si="0"/>
        <v>2.409</v>
      </c>
      <c r="E24" s="140">
        <v>4.2</v>
      </c>
      <c r="F24" s="141">
        <v>0.8</v>
      </c>
      <c r="G24" s="81" t="str">
        <f t="shared" si="8"/>
        <v>0.00</v>
      </c>
      <c r="H24" s="85">
        <v>1500</v>
      </c>
      <c r="I24" s="86">
        <v>7750</v>
      </c>
      <c r="K24" s="87" t="s">
        <v>208</v>
      </c>
      <c r="L24" s="85">
        <v>60</v>
      </c>
      <c r="M24" s="88">
        <v>0.07</v>
      </c>
      <c r="O24" s="107"/>
      <c r="Q24" s="108">
        <v>24</v>
      </c>
      <c r="R24" s="153">
        <v>0.22</v>
      </c>
      <c r="S24" s="109"/>
      <c r="U24" s="93">
        <v>7.1</v>
      </c>
      <c r="V24" s="94">
        <v>6.9</v>
      </c>
      <c r="W24" s="95">
        <v>6.3</v>
      </c>
      <c r="Y24" s="90">
        <v>15</v>
      </c>
      <c r="Z24" s="96">
        <v>14</v>
      </c>
      <c r="AA24" s="92">
        <v>16</v>
      </c>
      <c r="AC24" s="93">
        <v>4.5</v>
      </c>
      <c r="AD24" s="91">
        <v>0.01</v>
      </c>
      <c r="AE24" s="97">
        <v>0</v>
      </c>
      <c r="AG24" s="45">
        <f t="shared" si="1"/>
        <v>13</v>
      </c>
      <c r="AH24" t="s">
        <v>201</v>
      </c>
      <c r="AI24" s="98">
        <v>336</v>
      </c>
      <c r="AJ24" s="55">
        <f t="shared" si="2"/>
        <v>6750.59616</v>
      </c>
      <c r="AK24" s="98">
        <v>183</v>
      </c>
      <c r="AL24" s="55">
        <f t="shared" si="3"/>
        <v>3676.66398</v>
      </c>
      <c r="AM24" s="98">
        <v>22</v>
      </c>
      <c r="AN24" s="55">
        <f t="shared" si="4"/>
        <v>442.00332</v>
      </c>
      <c r="AO24" s="110">
        <v>14</v>
      </c>
      <c r="AQ24" s="100">
        <v>242</v>
      </c>
      <c r="AR24" s="55">
        <f t="shared" si="5"/>
        <v>4862.03652</v>
      </c>
      <c r="AS24" s="98">
        <v>77</v>
      </c>
      <c r="AT24" s="55">
        <f t="shared" si="6"/>
        <v>1547.01162</v>
      </c>
      <c r="AU24" s="98">
        <v>18</v>
      </c>
      <c r="AV24" s="55">
        <f t="shared" si="7"/>
        <v>361.63908</v>
      </c>
      <c r="AX24" s="100">
        <v>27079</v>
      </c>
      <c r="AY24" s="101">
        <v>2</v>
      </c>
      <c r="AZ24" s="102">
        <v>1.75</v>
      </c>
      <c r="BA24" s="98">
        <v>18.6</v>
      </c>
      <c r="BB24" s="102">
        <v>26</v>
      </c>
      <c r="BC24" s="98">
        <v>12</v>
      </c>
      <c r="BD24" s="98"/>
      <c r="BE24" s="103"/>
      <c r="BG24" s="100">
        <v>12</v>
      </c>
      <c r="BH24" s="84" t="s">
        <v>212</v>
      </c>
      <c r="BI24" s="104" t="s">
        <v>211</v>
      </c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5">
        <v>1931296</v>
      </c>
      <c r="D25" s="138">
        <f t="shared" si="0"/>
        <v>2.746</v>
      </c>
      <c r="E25" s="140">
        <v>4</v>
      </c>
      <c r="F25" s="141">
        <v>0.8</v>
      </c>
      <c r="G25" s="81" t="str">
        <f t="shared" si="8"/>
        <v>0.00</v>
      </c>
      <c r="H25" s="85">
        <v>1200</v>
      </c>
      <c r="I25" s="86">
        <v>10000</v>
      </c>
      <c r="K25" s="87" t="s">
        <v>213</v>
      </c>
      <c r="L25" s="85">
        <v>57</v>
      </c>
      <c r="M25" s="88">
        <v>0.64</v>
      </c>
      <c r="O25" s="107"/>
      <c r="Q25" s="108">
        <v>27</v>
      </c>
      <c r="R25" s="153">
        <v>0.22</v>
      </c>
      <c r="S25" s="109"/>
      <c r="U25" s="93">
        <v>7</v>
      </c>
      <c r="V25" s="94">
        <v>6.9</v>
      </c>
      <c r="W25" s="95">
        <v>6.1</v>
      </c>
      <c r="Y25" s="90">
        <v>14</v>
      </c>
      <c r="Z25" s="96">
        <v>14</v>
      </c>
      <c r="AA25" s="92">
        <v>15</v>
      </c>
      <c r="AC25" s="93">
        <v>9.5</v>
      </c>
      <c r="AD25" s="91">
        <v>0.01</v>
      </c>
      <c r="AE25" s="97">
        <v>0</v>
      </c>
      <c r="AG25" s="45">
        <f t="shared" si="1"/>
        <v>14</v>
      </c>
      <c r="AI25" s="98"/>
      <c r="AJ25" s="55">
        <f t="shared" si="2"/>
      </c>
      <c r="AK25" s="98"/>
      <c r="AL25" s="55">
        <f t="shared" si="3"/>
      </c>
      <c r="AM25" s="98"/>
      <c r="AN25" s="55">
        <f t="shared" si="4"/>
      </c>
      <c r="AO25" s="110"/>
      <c r="AQ25" s="100"/>
      <c r="AR25" s="55">
        <f t="shared" si="5"/>
      </c>
      <c r="AS25" s="98"/>
      <c r="AT25" s="55">
        <f t="shared" si="6"/>
      </c>
      <c r="AU25" s="98"/>
      <c r="AV25" s="55">
        <f t="shared" si="7"/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3">
        <v>1933698</v>
      </c>
      <c r="D26" s="139">
        <f t="shared" si="0"/>
        <v>2.402</v>
      </c>
      <c r="E26" s="142">
        <v>4</v>
      </c>
      <c r="F26" s="143">
        <v>0.8</v>
      </c>
      <c r="G26" s="184" t="str">
        <f t="shared" si="8"/>
        <v>0.00</v>
      </c>
      <c r="H26" s="113">
        <v>0</v>
      </c>
      <c r="I26" s="114">
        <v>10000</v>
      </c>
      <c r="K26" s="115" t="s">
        <v>208</v>
      </c>
      <c r="L26" s="113">
        <v>54</v>
      </c>
      <c r="M26" s="116">
        <v>0.03</v>
      </c>
      <c r="O26" s="117"/>
      <c r="Q26" s="257">
        <v>23</v>
      </c>
      <c r="R26" s="258">
        <v>0.3</v>
      </c>
      <c r="S26" s="263"/>
      <c r="U26" s="118">
        <v>7.1</v>
      </c>
      <c r="V26" s="119">
        <v>6.9</v>
      </c>
      <c r="W26" s="120">
        <v>6.3</v>
      </c>
      <c r="Y26" s="121">
        <v>14</v>
      </c>
      <c r="Z26" s="122">
        <v>14</v>
      </c>
      <c r="AA26" s="123">
        <v>15</v>
      </c>
      <c r="AC26" s="118">
        <v>5</v>
      </c>
      <c r="AD26" s="124">
        <v>0.01</v>
      </c>
      <c r="AE26" s="125">
        <v>0</v>
      </c>
      <c r="AG26" s="45">
        <f t="shared" si="1"/>
        <v>15</v>
      </c>
      <c r="AI26" s="126"/>
      <c r="AJ26" s="65">
        <f t="shared" si="2"/>
      </c>
      <c r="AK26" s="126"/>
      <c r="AL26" s="65">
        <f t="shared" si="3"/>
      </c>
      <c r="AM26" s="126"/>
      <c r="AN26" s="65">
        <f t="shared" si="4"/>
      </c>
      <c r="AO26" s="127"/>
      <c r="AQ26" s="128"/>
      <c r="AR26" s="65">
        <f t="shared" si="5"/>
      </c>
      <c r="AS26" s="126"/>
      <c r="AT26" s="65">
        <f t="shared" si="6"/>
      </c>
      <c r="AU26" s="126"/>
      <c r="AV26" s="65">
        <f t="shared" si="7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5">
        <v>1936038</v>
      </c>
      <c r="D27" s="138">
        <f t="shared" si="0"/>
        <v>2.34</v>
      </c>
      <c r="E27" s="140">
        <v>4</v>
      </c>
      <c r="F27" s="141">
        <v>0.6</v>
      </c>
      <c r="G27" s="81" t="str">
        <f t="shared" si="8"/>
        <v>0.00</v>
      </c>
      <c r="H27" s="85">
        <v>0</v>
      </c>
      <c r="I27" s="86">
        <v>10000</v>
      </c>
      <c r="K27" s="87" t="s">
        <v>210</v>
      </c>
      <c r="L27" s="85">
        <v>54</v>
      </c>
      <c r="M27" s="88">
        <v>0</v>
      </c>
      <c r="O27" s="107"/>
      <c r="Q27" s="108">
        <v>25</v>
      </c>
      <c r="R27" s="153">
        <v>0.28</v>
      </c>
      <c r="S27" s="109">
        <v>134</v>
      </c>
      <c r="U27" s="93">
        <v>7.5</v>
      </c>
      <c r="V27" s="94">
        <v>7</v>
      </c>
      <c r="W27" s="95">
        <v>6.4</v>
      </c>
      <c r="Y27" s="90">
        <v>14</v>
      </c>
      <c r="Z27" s="96">
        <v>14</v>
      </c>
      <c r="AA27" s="92">
        <v>15</v>
      </c>
      <c r="AC27" s="93">
        <v>7.5</v>
      </c>
      <c r="AD27" s="91">
        <v>0.01</v>
      </c>
      <c r="AE27" s="97">
        <v>0</v>
      </c>
      <c r="AG27" s="45">
        <f t="shared" si="1"/>
        <v>16</v>
      </c>
      <c r="AI27" s="98"/>
      <c r="AJ27" s="55">
        <f t="shared" si="2"/>
      </c>
      <c r="AK27" s="98"/>
      <c r="AL27" s="55">
        <f t="shared" si="3"/>
      </c>
      <c r="AM27" s="98"/>
      <c r="AN27" s="55">
        <f t="shared" si="4"/>
      </c>
      <c r="AO27" s="110"/>
      <c r="AQ27" s="100"/>
      <c r="AR27" s="55">
        <f t="shared" si="5"/>
      </c>
      <c r="AS27" s="98"/>
      <c r="AT27" s="55">
        <f t="shared" si="6"/>
      </c>
      <c r="AU27" s="98"/>
      <c r="AV27" s="55">
        <f t="shared" si="7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5">
        <v>1938481</v>
      </c>
      <c r="D28" s="138">
        <f t="shared" si="0"/>
        <v>2.443</v>
      </c>
      <c r="E28" s="140">
        <v>3.7</v>
      </c>
      <c r="F28" s="141">
        <v>0.6</v>
      </c>
      <c r="G28" s="81" t="str">
        <f t="shared" si="8"/>
        <v>0.00</v>
      </c>
      <c r="H28" s="85">
        <v>5800</v>
      </c>
      <c r="I28" s="86">
        <v>8500</v>
      </c>
      <c r="K28" s="87" t="s">
        <v>210</v>
      </c>
      <c r="L28" s="85">
        <v>58</v>
      </c>
      <c r="M28" s="88">
        <v>0</v>
      </c>
      <c r="O28" s="107"/>
      <c r="Q28" s="108">
        <v>27</v>
      </c>
      <c r="R28" s="153">
        <v>0.28</v>
      </c>
      <c r="S28" s="109">
        <v>804</v>
      </c>
      <c r="U28" s="93">
        <v>7.4</v>
      </c>
      <c r="V28" s="94">
        <v>6.9</v>
      </c>
      <c r="W28" s="95">
        <v>6.3</v>
      </c>
      <c r="Y28" s="90">
        <v>15</v>
      </c>
      <c r="Z28" s="96">
        <v>15</v>
      </c>
      <c r="AA28" s="92">
        <v>16</v>
      </c>
      <c r="AC28" s="93">
        <v>11</v>
      </c>
      <c r="AD28" s="91">
        <v>0.5</v>
      </c>
      <c r="AE28" s="97">
        <v>0</v>
      </c>
      <c r="AG28" s="45">
        <f t="shared" si="1"/>
        <v>17</v>
      </c>
      <c r="AI28" s="98"/>
      <c r="AJ28" s="55">
        <f t="shared" si="2"/>
      </c>
      <c r="AK28" s="98"/>
      <c r="AL28" s="55">
        <f t="shared" si="3"/>
      </c>
      <c r="AM28" s="98"/>
      <c r="AN28" s="55">
        <f t="shared" si="4"/>
      </c>
      <c r="AO28" s="110"/>
      <c r="AQ28" s="100"/>
      <c r="AR28" s="55">
        <f t="shared" si="5"/>
      </c>
      <c r="AS28" s="98"/>
      <c r="AT28" s="55">
        <f t="shared" si="6"/>
      </c>
      <c r="AU28" s="98"/>
      <c r="AV28" s="55">
        <f t="shared" si="7"/>
      </c>
      <c r="AX28" s="100">
        <v>54316</v>
      </c>
      <c r="AY28" s="101">
        <v>2</v>
      </c>
      <c r="AZ28" s="102">
        <v>3.5</v>
      </c>
      <c r="BA28" s="98">
        <v>37.2</v>
      </c>
      <c r="BB28" s="102">
        <v>27</v>
      </c>
      <c r="BC28" s="98">
        <v>24</v>
      </c>
      <c r="BD28" s="98"/>
      <c r="BE28" s="103"/>
      <c r="BG28" s="100">
        <v>24</v>
      </c>
      <c r="BH28" s="84" t="s">
        <v>212</v>
      </c>
      <c r="BI28" s="104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39" t="s">
        <v>150</v>
      </c>
      <c r="BR28" s="239" t="s">
        <v>150</v>
      </c>
      <c r="BS28" s="239" t="s">
        <v>150</v>
      </c>
      <c r="BT28" s="239"/>
      <c r="BU28" s="239" t="s">
        <v>150</v>
      </c>
      <c r="BV28" s="147">
        <f>(CM23)</f>
        <v>0.0014285714285714286</v>
      </c>
      <c r="BW28" s="147">
        <f>MAX(AE12:AE42)</f>
        <v>0.01</v>
      </c>
      <c r="BX28" s="105" t="s">
        <v>128</v>
      </c>
      <c r="BY28" s="105"/>
      <c r="BZ28" s="105">
        <v>0</v>
      </c>
      <c r="CA28" s="145" t="s">
        <v>48</v>
      </c>
      <c r="CB28" s="105" t="s">
        <v>23</v>
      </c>
      <c r="CC28" s="137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5">
        <v>1940867</v>
      </c>
      <c r="D29" s="138">
        <f t="shared" si="0"/>
        <v>2.386</v>
      </c>
      <c r="E29" s="140">
        <v>3.6</v>
      </c>
      <c r="F29" s="141">
        <v>0.6</v>
      </c>
      <c r="G29" s="81" t="str">
        <f t="shared" si="8"/>
        <v>0.00</v>
      </c>
      <c r="H29" s="85">
        <v>2200</v>
      </c>
      <c r="I29" s="86">
        <v>5750</v>
      </c>
      <c r="K29" s="87" t="s">
        <v>210</v>
      </c>
      <c r="L29" s="85">
        <v>58</v>
      </c>
      <c r="M29" s="88">
        <v>0.17</v>
      </c>
      <c r="O29" s="107"/>
      <c r="Q29" s="108">
        <v>27</v>
      </c>
      <c r="R29" s="153">
        <v>0.36</v>
      </c>
      <c r="S29" s="109">
        <v>30</v>
      </c>
      <c r="U29" s="93">
        <v>7.1</v>
      </c>
      <c r="V29" s="94">
        <v>6.9</v>
      </c>
      <c r="W29" s="95">
        <v>6.3</v>
      </c>
      <c r="Y29" s="90">
        <v>15</v>
      </c>
      <c r="Z29" s="96">
        <v>14</v>
      </c>
      <c r="AA29" s="92">
        <v>16</v>
      </c>
      <c r="AC29" s="93">
        <v>4.5</v>
      </c>
      <c r="AD29" s="91">
        <v>0.01</v>
      </c>
      <c r="AE29" s="97">
        <v>0.01</v>
      </c>
      <c r="AG29" s="45">
        <f t="shared" si="1"/>
        <v>18</v>
      </c>
      <c r="AI29" s="98">
        <v>284</v>
      </c>
      <c r="AJ29" s="55">
        <f t="shared" si="2"/>
        <v>5651.3841600000005</v>
      </c>
      <c r="AK29" s="98"/>
      <c r="AL29" s="55">
        <f t="shared" si="3"/>
      </c>
      <c r="AM29" s="98">
        <v>12</v>
      </c>
      <c r="AN29" s="55">
        <f t="shared" si="4"/>
        <v>238.79088000000002</v>
      </c>
      <c r="AO29" s="110">
        <v>7</v>
      </c>
      <c r="AQ29" s="100">
        <v>238</v>
      </c>
      <c r="AR29" s="55">
        <f t="shared" si="5"/>
        <v>4736.01912</v>
      </c>
      <c r="AS29" s="98"/>
      <c r="AT29" s="55">
        <f t="shared" si="6"/>
      </c>
      <c r="AU29" s="98">
        <v>18</v>
      </c>
      <c r="AV29" s="55">
        <f t="shared" si="7"/>
        <v>358.18632</v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38" t="s">
        <v>150</v>
      </c>
      <c r="BR29" s="238" t="s">
        <v>150</v>
      </c>
      <c r="BS29" s="238" t="s">
        <v>150</v>
      </c>
      <c r="BT29" s="239"/>
      <c r="BU29" s="238" t="s">
        <v>150</v>
      </c>
      <c r="BV29" s="156" t="s">
        <v>146</v>
      </c>
      <c r="BW29" s="156">
        <v>0.3</v>
      </c>
      <c r="BX29" s="156" t="s">
        <v>128</v>
      </c>
      <c r="BY29" s="105"/>
      <c r="BZ29" s="238" t="s">
        <v>150</v>
      </c>
      <c r="CA29" s="158" t="s">
        <v>48</v>
      </c>
      <c r="CB29" s="156" t="s">
        <v>23</v>
      </c>
      <c r="CC29" s="137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5">
        <v>1943234</v>
      </c>
      <c r="D30" s="138">
        <f t="shared" si="0"/>
        <v>2.367</v>
      </c>
      <c r="E30" s="140">
        <v>5.4</v>
      </c>
      <c r="F30" s="141">
        <v>0.6</v>
      </c>
      <c r="G30" s="81" t="str">
        <f t="shared" si="8"/>
        <v>0.00</v>
      </c>
      <c r="H30" s="85">
        <v>4800</v>
      </c>
      <c r="I30" s="86">
        <v>3000</v>
      </c>
      <c r="K30" s="87" t="s">
        <v>208</v>
      </c>
      <c r="L30" s="85">
        <v>64</v>
      </c>
      <c r="M30" s="88">
        <v>0.03</v>
      </c>
      <c r="O30" s="107"/>
      <c r="Q30" s="108">
        <v>30</v>
      </c>
      <c r="R30" s="153">
        <v>0.23</v>
      </c>
      <c r="S30" s="109"/>
      <c r="U30" s="93">
        <v>7.2</v>
      </c>
      <c r="V30" s="94">
        <v>6.9</v>
      </c>
      <c r="W30" s="95">
        <v>6.3</v>
      </c>
      <c r="Y30" s="90">
        <v>15</v>
      </c>
      <c r="Z30" s="96">
        <v>14</v>
      </c>
      <c r="AA30" s="92">
        <v>16</v>
      </c>
      <c r="AC30" s="93">
        <v>7</v>
      </c>
      <c r="AD30" s="91">
        <v>0.1</v>
      </c>
      <c r="AE30" s="97">
        <v>0</v>
      </c>
      <c r="AG30" s="45">
        <f t="shared" si="1"/>
        <v>19</v>
      </c>
      <c r="AI30" s="98">
        <v>228</v>
      </c>
      <c r="AJ30" s="55">
        <f t="shared" si="2"/>
        <v>4500.8978400000005</v>
      </c>
      <c r="AK30" s="98"/>
      <c r="AL30" s="55">
        <f t="shared" si="3"/>
      </c>
      <c r="AM30" s="98">
        <v>13</v>
      </c>
      <c r="AN30" s="55">
        <f t="shared" si="4"/>
        <v>256.63014</v>
      </c>
      <c r="AO30" s="110">
        <v>8</v>
      </c>
      <c r="AQ30" s="100">
        <v>250</v>
      </c>
      <c r="AR30" s="55">
        <f t="shared" si="5"/>
        <v>4935.195</v>
      </c>
      <c r="AS30" s="98"/>
      <c r="AT30" s="55">
        <f t="shared" si="6"/>
      </c>
      <c r="AU30" s="98">
        <v>17</v>
      </c>
      <c r="AV30" s="55">
        <f t="shared" si="7"/>
        <v>335.59326</v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3">
        <v>1945750</v>
      </c>
      <c r="D31" s="139">
        <f t="shared" si="0"/>
        <v>2.516</v>
      </c>
      <c r="E31" s="142">
        <v>4</v>
      </c>
      <c r="F31" s="143">
        <v>0.6</v>
      </c>
      <c r="G31" s="184" t="str">
        <f t="shared" si="8"/>
        <v>0.00</v>
      </c>
      <c r="H31" s="113">
        <v>1000</v>
      </c>
      <c r="I31" s="114">
        <v>6000</v>
      </c>
      <c r="K31" s="115" t="s">
        <v>208</v>
      </c>
      <c r="L31" s="113">
        <v>67</v>
      </c>
      <c r="M31" s="116">
        <v>0</v>
      </c>
      <c r="O31" s="117"/>
      <c r="Q31" s="257">
        <v>26</v>
      </c>
      <c r="R31" s="258">
        <v>0.23</v>
      </c>
      <c r="S31" s="263"/>
      <c r="U31" s="118">
        <v>7</v>
      </c>
      <c r="V31" s="119">
        <v>6.9</v>
      </c>
      <c r="W31" s="120">
        <v>6.3</v>
      </c>
      <c r="Y31" s="121">
        <v>15</v>
      </c>
      <c r="Z31" s="122">
        <v>15</v>
      </c>
      <c r="AA31" s="123">
        <v>17</v>
      </c>
      <c r="AC31" s="118">
        <v>5</v>
      </c>
      <c r="AD31" s="124">
        <v>0.01</v>
      </c>
      <c r="AE31" s="125">
        <v>0</v>
      </c>
      <c r="AG31" s="45">
        <f t="shared" si="1"/>
        <v>20</v>
      </c>
      <c r="AH31" t="s">
        <v>201</v>
      </c>
      <c r="AI31" s="126">
        <v>315</v>
      </c>
      <c r="AJ31" s="65">
        <f t="shared" si="2"/>
        <v>6609.7836</v>
      </c>
      <c r="AK31" s="126">
        <v>186</v>
      </c>
      <c r="AL31" s="65">
        <f t="shared" si="3"/>
        <v>3902.91984</v>
      </c>
      <c r="AM31" s="126">
        <v>19</v>
      </c>
      <c r="AN31" s="65">
        <f t="shared" si="4"/>
        <v>398.68536</v>
      </c>
      <c r="AO31" s="127">
        <v>13</v>
      </c>
      <c r="AQ31" s="128">
        <v>226</v>
      </c>
      <c r="AR31" s="65">
        <f t="shared" si="5"/>
        <v>4742.257439999999</v>
      </c>
      <c r="AS31" s="126">
        <v>71</v>
      </c>
      <c r="AT31" s="65">
        <f t="shared" si="6"/>
        <v>1489.82424</v>
      </c>
      <c r="AU31" s="126">
        <v>22</v>
      </c>
      <c r="AV31" s="65">
        <f t="shared" si="7"/>
        <v>461.63568000000004</v>
      </c>
      <c r="AX31" s="128">
        <v>50942</v>
      </c>
      <c r="AY31" s="129">
        <v>2</v>
      </c>
      <c r="AZ31" s="130">
        <v>3.5</v>
      </c>
      <c r="BA31" s="126">
        <v>37.2</v>
      </c>
      <c r="BB31" s="130">
        <v>27</v>
      </c>
      <c r="BC31" s="126">
        <v>24</v>
      </c>
      <c r="BD31" s="126"/>
      <c r="BE31" s="131"/>
      <c r="BG31" s="128">
        <v>24</v>
      </c>
      <c r="BH31" s="111" t="s">
        <v>212</v>
      </c>
      <c r="BI31" s="132" t="s">
        <v>211</v>
      </c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5">
        <v>1948171</v>
      </c>
      <c r="D32" s="138">
        <f t="shared" si="0"/>
        <v>2.421</v>
      </c>
      <c r="E32" s="140">
        <v>3.8</v>
      </c>
      <c r="F32" s="141">
        <v>0.6</v>
      </c>
      <c r="G32" s="81" t="str">
        <f t="shared" si="8"/>
        <v>0.00</v>
      </c>
      <c r="H32" s="85">
        <v>1400</v>
      </c>
      <c r="I32" s="86">
        <v>2800</v>
      </c>
      <c r="K32" s="87" t="s">
        <v>210</v>
      </c>
      <c r="L32" s="85">
        <v>65</v>
      </c>
      <c r="M32" s="88">
        <v>0</v>
      </c>
      <c r="O32" s="107"/>
      <c r="Q32" s="108">
        <v>24</v>
      </c>
      <c r="R32" s="153">
        <v>0.22</v>
      </c>
      <c r="S32" s="109"/>
      <c r="U32" s="93">
        <v>7.1</v>
      </c>
      <c r="V32" s="94">
        <v>6.9</v>
      </c>
      <c r="W32" s="95">
        <v>6.4</v>
      </c>
      <c r="Y32" s="90">
        <v>15</v>
      </c>
      <c r="Z32" s="96">
        <v>15</v>
      </c>
      <c r="AA32" s="92">
        <v>16</v>
      </c>
      <c r="AC32" s="93">
        <v>3.5</v>
      </c>
      <c r="AD32" s="91">
        <v>0.01</v>
      </c>
      <c r="AE32" s="97">
        <v>0</v>
      </c>
      <c r="AG32" s="45">
        <f t="shared" si="1"/>
        <v>21</v>
      </c>
      <c r="AI32" s="98"/>
      <c r="AJ32" s="55">
        <f t="shared" si="2"/>
      </c>
      <c r="AK32" s="98"/>
      <c r="AL32" s="55">
        <f t="shared" si="3"/>
      </c>
      <c r="AM32" s="98"/>
      <c r="AN32" s="55">
        <f t="shared" si="4"/>
      </c>
      <c r="AO32" s="110"/>
      <c r="AQ32" s="100"/>
      <c r="AR32" s="55">
        <f t="shared" si="5"/>
      </c>
      <c r="AS32" s="98"/>
      <c r="AT32" s="55">
        <f t="shared" si="6"/>
      </c>
      <c r="AU32" s="98"/>
      <c r="AV32" s="55">
        <f t="shared" si="7"/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5">
        <v>1950397</v>
      </c>
      <c r="D33" s="138">
        <f t="shared" si="0"/>
        <v>2.226</v>
      </c>
      <c r="E33" s="140">
        <v>5.3</v>
      </c>
      <c r="F33" s="141">
        <v>0.6</v>
      </c>
      <c r="G33" s="81" t="str">
        <f t="shared" si="8"/>
        <v>0.00</v>
      </c>
      <c r="H33" s="85">
        <v>0</v>
      </c>
      <c r="I33" s="86">
        <v>1000</v>
      </c>
      <c r="K33" s="87" t="s">
        <v>208</v>
      </c>
      <c r="L33" s="85">
        <v>62</v>
      </c>
      <c r="M33" s="88">
        <v>0.22</v>
      </c>
      <c r="O33" s="107"/>
      <c r="Q33" s="108">
        <v>27</v>
      </c>
      <c r="R33" s="153">
        <v>0.24</v>
      </c>
      <c r="S33" s="109"/>
      <c r="U33" s="93">
        <v>7.1</v>
      </c>
      <c r="V33" s="94">
        <v>6.9</v>
      </c>
      <c r="W33" s="95">
        <v>6.3</v>
      </c>
      <c r="Y33" s="90">
        <v>14</v>
      </c>
      <c r="Z33" s="96">
        <v>15</v>
      </c>
      <c r="AA33" s="92">
        <v>16</v>
      </c>
      <c r="AC33" s="93">
        <v>5</v>
      </c>
      <c r="AD33" s="91">
        <v>0.1</v>
      </c>
      <c r="AE33" s="97">
        <v>0</v>
      </c>
      <c r="AG33" s="45">
        <f t="shared" si="1"/>
        <v>22</v>
      </c>
      <c r="AI33" s="98"/>
      <c r="AJ33" s="55">
        <f t="shared" si="2"/>
      </c>
      <c r="AK33" s="98"/>
      <c r="AL33" s="55">
        <f t="shared" si="3"/>
      </c>
      <c r="AM33" s="98"/>
      <c r="AN33" s="55">
        <f t="shared" si="4"/>
      </c>
      <c r="AO33" s="110"/>
      <c r="AQ33" s="100"/>
      <c r="AR33" s="55">
        <f t="shared" si="5"/>
      </c>
      <c r="AS33" s="98"/>
      <c r="AT33" s="55">
        <f t="shared" si="6"/>
      </c>
      <c r="AU33" s="98"/>
      <c r="AV33" s="55">
        <f t="shared" si="7"/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148">
        <f>(D47)</f>
        <v>2.4837</v>
      </c>
      <c r="BR33" s="148">
        <f>(D45)</f>
        <v>2.746</v>
      </c>
      <c r="BS33" s="105" t="s">
        <v>127</v>
      </c>
      <c r="BT33" s="105"/>
      <c r="BU33" s="239" t="s">
        <v>150</v>
      </c>
      <c r="BV33" s="239" t="s">
        <v>150</v>
      </c>
      <c r="BW33" s="239" t="s">
        <v>150</v>
      </c>
      <c r="BX33" s="239" t="s">
        <v>150</v>
      </c>
      <c r="BY33" s="105"/>
      <c r="BZ33" s="105">
        <v>0</v>
      </c>
      <c r="CA33" s="149" t="s">
        <v>24</v>
      </c>
      <c r="CB33" s="105" t="s">
        <v>25</v>
      </c>
      <c r="CC33" s="137"/>
      <c r="CJ33" s="326" t="s">
        <v>17</v>
      </c>
      <c r="CK33" s="328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5">
        <v>1953101</v>
      </c>
      <c r="D34" s="138">
        <f t="shared" si="0"/>
        <v>2.704</v>
      </c>
      <c r="E34" s="140">
        <v>4</v>
      </c>
      <c r="F34" s="141">
        <v>0.8</v>
      </c>
      <c r="G34" s="81" t="str">
        <f t="shared" si="8"/>
        <v>0.00</v>
      </c>
      <c r="H34" s="85">
        <v>0</v>
      </c>
      <c r="I34" s="86">
        <v>2000</v>
      </c>
      <c r="K34" s="87" t="s">
        <v>208</v>
      </c>
      <c r="L34" s="85">
        <v>63</v>
      </c>
      <c r="M34" s="88">
        <v>1.02</v>
      </c>
      <c r="O34" s="107"/>
      <c r="Q34" s="108">
        <v>29</v>
      </c>
      <c r="R34" s="153">
        <v>0.25</v>
      </c>
      <c r="S34" s="109">
        <v>63</v>
      </c>
      <c r="U34" s="93">
        <v>7.2</v>
      </c>
      <c r="V34" s="94">
        <v>6.8</v>
      </c>
      <c r="W34" s="95">
        <v>6.2</v>
      </c>
      <c r="Y34" s="90">
        <v>16</v>
      </c>
      <c r="Z34" s="96">
        <v>16</v>
      </c>
      <c r="AA34" s="92">
        <v>17</v>
      </c>
      <c r="AC34" s="93">
        <v>8</v>
      </c>
      <c r="AD34" s="91">
        <v>0.01</v>
      </c>
      <c r="AE34" s="97">
        <v>0</v>
      </c>
      <c r="AG34" s="45">
        <f t="shared" si="1"/>
        <v>23</v>
      </c>
      <c r="AI34" s="98"/>
      <c r="AJ34" s="55">
        <f t="shared" si="2"/>
      </c>
      <c r="AK34" s="98"/>
      <c r="AL34" s="55">
        <f t="shared" si="3"/>
      </c>
      <c r="AM34" s="98"/>
      <c r="AN34" s="55">
        <f t="shared" si="4"/>
      </c>
      <c r="AO34" s="110"/>
      <c r="AQ34" s="100"/>
      <c r="AR34" s="55">
        <f t="shared" si="5"/>
      </c>
      <c r="AS34" s="98"/>
      <c r="AT34" s="55">
        <f t="shared" si="6"/>
      </c>
      <c r="AU34" s="98"/>
      <c r="AV34" s="55">
        <f t="shared" si="7"/>
      </c>
      <c r="AX34" s="100">
        <v>47727</v>
      </c>
      <c r="AY34" s="101">
        <v>3</v>
      </c>
      <c r="AZ34" s="102">
        <v>3.75</v>
      </c>
      <c r="BA34" s="98">
        <v>37.2</v>
      </c>
      <c r="BB34" s="102">
        <v>27</v>
      </c>
      <c r="BC34" s="98">
        <v>24</v>
      </c>
      <c r="BD34" s="98"/>
      <c r="BE34" s="103"/>
      <c r="BG34" s="100">
        <v>24</v>
      </c>
      <c r="BH34" s="84" t="s">
        <v>212</v>
      </c>
      <c r="BI34" s="104" t="s">
        <v>211</v>
      </c>
      <c r="BK34" s="17"/>
      <c r="BL34" s="19"/>
      <c r="BM34" s="26" t="s">
        <v>86</v>
      </c>
      <c r="BN34" s="20"/>
      <c r="BO34" s="154" t="s">
        <v>131</v>
      </c>
      <c r="BP34" s="26"/>
      <c r="BQ34" s="160">
        <v>3.85</v>
      </c>
      <c r="BR34" s="156" t="s">
        <v>146</v>
      </c>
      <c r="BS34" s="156" t="s">
        <v>127</v>
      </c>
      <c r="BT34" s="105"/>
      <c r="BU34" s="238" t="s">
        <v>150</v>
      </c>
      <c r="BV34" s="238" t="s">
        <v>150</v>
      </c>
      <c r="BW34" s="238" t="s">
        <v>150</v>
      </c>
      <c r="BX34" s="238" t="s">
        <v>150</v>
      </c>
      <c r="BY34" s="105"/>
      <c r="BZ34" s="238" t="s">
        <v>150</v>
      </c>
      <c r="CA34" s="161" t="s">
        <v>24</v>
      </c>
      <c r="CB34" s="156" t="s">
        <v>25</v>
      </c>
      <c r="CC34" s="137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5">
        <v>1955654</v>
      </c>
      <c r="D35" s="138">
        <f t="shared" si="0"/>
        <v>2.553</v>
      </c>
      <c r="E35" s="140">
        <v>3.8</v>
      </c>
      <c r="F35" s="141">
        <v>0.6</v>
      </c>
      <c r="G35" s="81" t="str">
        <f t="shared" si="8"/>
        <v>0.00</v>
      </c>
      <c r="H35" s="85">
        <v>3800</v>
      </c>
      <c r="I35" s="86">
        <v>6000</v>
      </c>
      <c r="K35" s="87" t="s">
        <v>210</v>
      </c>
      <c r="L35" s="85">
        <v>67</v>
      </c>
      <c r="M35" s="88">
        <v>0.01</v>
      </c>
      <c r="O35" s="107"/>
      <c r="Q35" s="108">
        <v>32</v>
      </c>
      <c r="R35" s="153">
        <v>0.28</v>
      </c>
      <c r="S35" s="109">
        <v>65</v>
      </c>
      <c r="U35" s="93">
        <v>7</v>
      </c>
      <c r="V35" s="94">
        <v>6.9</v>
      </c>
      <c r="W35" s="95">
        <v>6.4</v>
      </c>
      <c r="Y35" s="90">
        <v>15</v>
      </c>
      <c r="Z35" s="96">
        <v>15</v>
      </c>
      <c r="AA35" s="92">
        <v>16</v>
      </c>
      <c r="AC35" s="93">
        <v>5</v>
      </c>
      <c r="AD35" s="91">
        <v>0.01</v>
      </c>
      <c r="AE35" s="97">
        <v>0</v>
      </c>
      <c r="AG35" s="45">
        <f t="shared" si="1"/>
        <v>24</v>
      </c>
      <c r="AI35" s="98"/>
      <c r="AJ35" s="55">
        <f t="shared" si="2"/>
      </c>
      <c r="AK35" s="98"/>
      <c r="AL35" s="55">
        <f t="shared" si="3"/>
      </c>
      <c r="AM35" s="98"/>
      <c r="AN35" s="55">
        <f t="shared" si="4"/>
      </c>
      <c r="AO35" s="110"/>
      <c r="AQ35" s="100"/>
      <c r="AR35" s="55">
        <f t="shared" si="5"/>
      </c>
      <c r="AS35" s="98"/>
      <c r="AT35" s="55">
        <f t="shared" si="6"/>
      </c>
      <c r="AU35" s="98"/>
      <c r="AV35" s="55">
        <f t="shared" si="7"/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3">
        <v>1958113</v>
      </c>
      <c r="D36" s="139">
        <f t="shared" si="0"/>
        <v>2.459</v>
      </c>
      <c r="E36" s="142">
        <v>3.6</v>
      </c>
      <c r="F36" s="143">
        <v>0.7</v>
      </c>
      <c r="G36" s="184" t="str">
        <f t="shared" si="8"/>
        <v>0.00</v>
      </c>
      <c r="H36" s="113">
        <v>5600</v>
      </c>
      <c r="I36" s="114">
        <v>5750</v>
      </c>
      <c r="K36" s="115" t="s">
        <v>210</v>
      </c>
      <c r="L36" s="113">
        <v>73</v>
      </c>
      <c r="M36" s="116">
        <v>0</v>
      </c>
      <c r="O36" s="117"/>
      <c r="Q36" s="257">
        <v>34</v>
      </c>
      <c r="R36" s="258">
        <v>0.29</v>
      </c>
      <c r="S36" s="263">
        <v>254</v>
      </c>
      <c r="U36" s="118">
        <v>7</v>
      </c>
      <c r="V36" s="119">
        <v>6.9</v>
      </c>
      <c r="W36" s="120">
        <v>6.3</v>
      </c>
      <c r="Y36" s="121">
        <v>15</v>
      </c>
      <c r="Z36" s="122">
        <v>15</v>
      </c>
      <c r="AA36" s="123">
        <v>17</v>
      </c>
      <c r="AC36" s="118">
        <v>4.5</v>
      </c>
      <c r="AD36" s="124">
        <v>0.1</v>
      </c>
      <c r="AE36" s="125">
        <v>0</v>
      </c>
      <c r="AG36" s="45">
        <f t="shared" si="1"/>
        <v>25</v>
      </c>
      <c r="AI36" s="126">
        <v>154</v>
      </c>
      <c r="AJ36" s="65">
        <f t="shared" si="2"/>
        <v>3158.2412400000003</v>
      </c>
      <c r="AK36" s="126"/>
      <c r="AL36" s="65">
        <f t="shared" si="3"/>
      </c>
      <c r="AM36" s="126">
        <v>14</v>
      </c>
      <c r="AN36" s="65">
        <f t="shared" si="4"/>
        <v>287.11284</v>
      </c>
      <c r="AO36" s="127">
        <v>10</v>
      </c>
      <c r="AQ36" s="128">
        <v>206</v>
      </c>
      <c r="AR36" s="65">
        <f t="shared" si="5"/>
        <v>4224.66036</v>
      </c>
      <c r="AS36" s="126"/>
      <c r="AT36" s="65">
        <f t="shared" si="6"/>
      </c>
      <c r="AU36" s="126">
        <v>29</v>
      </c>
      <c r="AV36" s="65">
        <f t="shared" si="7"/>
        <v>594.73374</v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5">
        <v>1960543</v>
      </c>
      <c r="D37" s="138">
        <f t="shared" si="0"/>
        <v>2.43</v>
      </c>
      <c r="E37" s="140">
        <v>3.6</v>
      </c>
      <c r="F37" s="141">
        <v>0.6</v>
      </c>
      <c r="G37" s="81" t="str">
        <f t="shared" si="8"/>
        <v>0.00</v>
      </c>
      <c r="H37" s="85">
        <v>2500</v>
      </c>
      <c r="I37" s="86">
        <v>7500</v>
      </c>
      <c r="K37" s="87" t="s">
        <v>210</v>
      </c>
      <c r="L37" s="85">
        <v>77</v>
      </c>
      <c r="M37" s="88">
        <v>0</v>
      </c>
      <c r="O37" s="107"/>
      <c r="Q37" s="108">
        <v>33</v>
      </c>
      <c r="R37" s="153">
        <v>0.39</v>
      </c>
      <c r="S37" s="109"/>
      <c r="U37" s="93">
        <v>7.2</v>
      </c>
      <c r="V37" s="94">
        <v>7</v>
      </c>
      <c r="W37" s="95">
        <v>6.4</v>
      </c>
      <c r="Y37" s="90">
        <v>15</v>
      </c>
      <c r="Z37" s="96">
        <v>16</v>
      </c>
      <c r="AA37" s="92">
        <v>17</v>
      </c>
      <c r="AC37" s="93">
        <v>10</v>
      </c>
      <c r="AD37" s="91">
        <v>0.1</v>
      </c>
      <c r="AE37" s="97">
        <v>0</v>
      </c>
      <c r="AG37" s="45">
        <f t="shared" si="1"/>
        <v>26</v>
      </c>
      <c r="AI37" s="98">
        <v>259</v>
      </c>
      <c r="AJ37" s="55">
        <f t="shared" si="2"/>
        <v>5248.9457999999995</v>
      </c>
      <c r="AK37" s="98"/>
      <c r="AL37" s="55">
        <f t="shared" si="3"/>
      </c>
      <c r="AM37" s="98">
        <v>12</v>
      </c>
      <c r="AN37" s="55">
        <f t="shared" si="4"/>
        <v>243.19440000000003</v>
      </c>
      <c r="AO37" s="110">
        <v>9</v>
      </c>
      <c r="AQ37" s="100">
        <v>214</v>
      </c>
      <c r="AR37" s="55">
        <f t="shared" si="5"/>
        <v>4336.9668</v>
      </c>
      <c r="AS37" s="98"/>
      <c r="AT37" s="55">
        <f t="shared" si="6"/>
      </c>
      <c r="AU37" s="98">
        <v>23</v>
      </c>
      <c r="AV37" s="55">
        <f t="shared" si="7"/>
        <v>466.1226</v>
      </c>
      <c r="AX37" s="100">
        <v>53519</v>
      </c>
      <c r="AY37" s="101">
        <v>3</v>
      </c>
      <c r="AZ37" s="102">
        <v>3.5</v>
      </c>
      <c r="BA37" s="98">
        <v>34.1</v>
      </c>
      <c r="BB37" s="102">
        <v>26</v>
      </c>
      <c r="BC37" s="98">
        <v>24</v>
      </c>
      <c r="BD37" s="98"/>
      <c r="BE37" s="103"/>
      <c r="BG37" s="100">
        <v>24</v>
      </c>
      <c r="BH37" s="84" t="s">
        <v>212</v>
      </c>
      <c r="BI37" s="104" t="s">
        <v>211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2">
        <f>(IF(((SUM(AJ12:AJ42))=0)," ",(((AJ47-(D47*AO47*8.346))/AJ47)*100)))</f>
        <v>95.8975741276489</v>
      </c>
      <c r="CK37" s="333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5">
        <v>1962893</v>
      </c>
      <c r="D38" s="138">
        <f t="shared" si="0"/>
        <v>2.35</v>
      </c>
      <c r="E38" s="140">
        <v>3.7</v>
      </c>
      <c r="F38" s="141">
        <v>0.6</v>
      </c>
      <c r="G38" s="81" t="str">
        <f t="shared" si="8"/>
        <v>0.00</v>
      </c>
      <c r="H38" s="85">
        <v>9500</v>
      </c>
      <c r="I38" s="86">
        <v>4750</v>
      </c>
      <c r="K38" s="87" t="s">
        <v>210</v>
      </c>
      <c r="L38" s="85">
        <v>74</v>
      </c>
      <c r="M38" s="88">
        <v>0</v>
      </c>
      <c r="O38" s="107"/>
      <c r="Q38" s="108">
        <v>34</v>
      </c>
      <c r="R38" s="153">
        <v>0.32</v>
      </c>
      <c r="S38" s="109"/>
      <c r="U38" s="93">
        <v>7</v>
      </c>
      <c r="V38" s="94">
        <v>6.9</v>
      </c>
      <c r="W38" s="95">
        <v>6.4</v>
      </c>
      <c r="Y38" s="90">
        <v>15</v>
      </c>
      <c r="Z38" s="96">
        <v>15</v>
      </c>
      <c r="AA38" s="92">
        <v>17</v>
      </c>
      <c r="AC38" s="93">
        <v>5.5</v>
      </c>
      <c r="AD38" s="91">
        <v>0.1</v>
      </c>
      <c r="AE38" s="97">
        <v>0</v>
      </c>
      <c r="AG38" s="45">
        <f t="shared" si="1"/>
        <v>27</v>
      </c>
      <c r="AI38" s="98">
        <v>264</v>
      </c>
      <c r="AJ38" s="55">
        <f t="shared" si="2"/>
        <v>5174.1359999999995</v>
      </c>
      <c r="AK38" s="98">
        <v>153</v>
      </c>
      <c r="AL38" s="55">
        <f t="shared" si="3"/>
        <v>2998.647</v>
      </c>
      <c r="AM38" s="98">
        <v>13</v>
      </c>
      <c r="AN38" s="55">
        <f t="shared" si="4"/>
        <v>254.787</v>
      </c>
      <c r="AO38" s="110">
        <v>9</v>
      </c>
      <c r="AQ38" s="100">
        <v>276</v>
      </c>
      <c r="AR38" s="55">
        <f t="shared" si="5"/>
        <v>5409.3240000000005</v>
      </c>
      <c r="AS38" s="98">
        <v>116</v>
      </c>
      <c r="AT38" s="55">
        <f t="shared" si="6"/>
        <v>2273.4840000000004</v>
      </c>
      <c r="AU38" s="98">
        <v>21</v>
      </c>
      <c r="AV38" s="55">
        <f t="shared" si="7"/>
        <v>411.579</v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39" t="s">
        <v>150</v>
      </c>
      <c r="BR38" s="239" t="s">
        <v>150</v>
      </c>
      <c r="BS38" s="239" t="s">
        <v>150</v>
      </c>
      <c r="BT38" s="105"/>
      <c r="BU38" s="146">
        <f>(AN49)</f>
        <v>93.96890769011483</v>
      </c>
      <c r="BV38" s="239" t="s">
        <v>150</v>
      </c>
      <c r="BW38" s="239" t="s">
        <v>150</v>
      </c>
      <c r="BX38" s="105" t="s">
        <v>129</v>
      </c>
      <c r="BY38" s="105"/>
      <c r="BZ38" s="105">
        <v>0</v>
      </c>
      <c r="CA38" s="145" t="s">
        <v>49</v>
      </c>
      <c r="CB38" s="105" t="s">
        <v>26</v>
      </c>
      <c r="CC38" s="137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5">
        <v>1965220</v>
      </c>
      <c r="D39" s="138">
        <f t="shared" si="0"/>
        <v>2.327</v>
      </c>
      <c r="E39" s="140">
        <v>3.8</v>
      </c>
      <c r="F39" s="141">
        <v>0.6</v>
      </c>
      <c r="G39" s="81" t="str">
        <f t="shared" si="8"/>
        <v>0.00</v>
      </c>
      <c r="H39" s="85">
        <v>0</v>
      </c>
      <c r="I39" s="86">
        <v>1000</v>
      </c>
      <c r="K39" s="87" t="s">
        <v>208</v>
      </c>
      <c r="L39" s="85">
        <v>74</v>
      </c>
      <c r="M39" s="88">
        <v>0</v>
      </c>
      <c r="O39" s="107"/>
      <c r="Q39" s="108">
        <v>29</v>
      </c>
      <c r="R39" s="153">
        <v>0.32</v>
      </c>
      <c r="S39" s="109"/>
      <c r="U39" s="93">
        <v>7.2</v>
      </c>
      <c r="V39" s="94">
        <v>6.9</v>
      </c>
      <c r="W39" s="95">
        <v>6.3</v>
      </c>
      <c r="Y39" s="90">
        <v>15</v>
      </c>
      <c r="Z39" s="96">
        <v>15</v>
      </c>
      <c r="AA39" s="92">
        <v>18</v>
      </c>
      <c r="AC39" s="93">
        <v>5</v>
      </c>
      <c r="AD39" s="91">
        <v>0.01</v>
      </c>
      <c r="AE39" s="97">
        <v>0</v>
      </c>
      <c r="AG39" s="45">
        <f t="shared" si="1"/>
        <v>28</v>
      </c>
      <c r="AI39" s="98"/>
      <c r="AJ39" s="55">
        <f t="shared" si="2"/>
      </c>
      <c r="AK39" s="98"/>
      <c r="AL39" s="55">
        <f t="shared" si="3"/>
      </c>
      <c r="AM39" s="98"/>
      <c r="AN39" s="55">
        <f t="shared" si="4"/>
      </c>
      <c r="AO39" s="110"/>
      <c r="AQ39" s="100"/>
      <c r="AR39" s="55">
        <f t="shared" si="5"/>
      </c>
      <c r="AS39" s="98"/>
      <c r="AT39" s="55">
        <f t="shared" si="6"/>
      </c>
      <c r="AU39" s="98"/>
      <c r="AV39" s="55">
        <f t="shared" si="7"/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38" t="s">
        <v>150</v>
      </c>
      <c r="BR39" s="238" t="s">
        <v>150</v>
      </c>
      <c r="BS39" s="238" t="s">
        <v>150</v>
      </c>
      <c r="BT39" s="105"/>
      <c r="BU39" s="159">
        <v>85</v>
      </c>
      <c r="BV39" s="238" t="s">
        <v>150</v>
      </c>
      <c r="BW39" s="238" t="s">
        <v>150</v>
      </c>
      <c r="BX39" s="156" t="s">
        <v>129</v>
      </c>
      <c r="BY39" s="105"/>
      <c r="BZ39" s="238" t="s">
        <v>150</v>
      </c>
      <c r="CA39" s="158" t="s">
        <v>49</v>
      </c>
      <c r="CB39" s="156" t="s">
        <v>26</v>
      </c>
      <c r="CC39" s="137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4">
        <v>29</v>
      </c>
      <c r="C40" s="85">
        <v>1967376</v>
      </c>
      <c r="D40" s="138">
        <f t="shared" si="0"/>
        <v>2.156</v>
      </c>
      <c r="E40" s="140">
        <v>3.6</v>
      </c>
      <c r="F40" s="141">
        <v>0.6</v>
      </c>
      <c r="G40" s="81" t="str">
        <f t="shared" si="8"/>
        <v>0.00</v>
      </c>
      <c r="H40" s="85">
        <v>0</v>
      </c>
      <c r="I40" s="86">
        <v>3000</v>
      </c>
      <c r="K40" s="87" t="s">
        <v>208</v>
      </c>
      <c r="L40" s="85">
        <v>70</v>
      </c>
      <c r="M40" s="88">
        <v>0</v>
      </c>
      <c r="O40" s="107"/>
      <c r="Q40" s="108">
        <v>36</v>
      </c>
      <c r="R40" s="153">
        <v>0.34</v>
      </c>
      <c r="S40" s="109"/>
      <c r="U40" s="93">
        <v>7.1</v>
      </c>
      <c r="V40" s="94">
        <v>6.9</v>
      </c>
      <c r="W40" s="95">
        <v>6.3</v>
      </c>
      <c r="Y40" s="90">
        <v>14</v>
      </c>
      <c r="Z40" s="96">
        <v>15</v>
      </c>
      <c r="AA40" s="92">
        <v>17</v>
      </c>
      <c r="AC40" s="93">
        <v>4</v>
      </c>
      <c r="AD40" s="91">
        <v>0.01</v>
      </c>
      <c r="AE40" s="97">
        <v>0</v>
      </c>
      <c r="AG40" s="45">
        <f t="shared" si="1"/>
        <v>29</v>
      </c>
      <c r="AI40" s="98"/>
      <c r="AJ40" s="55">
        <f t="shared" si="2"/>
      </c>
      <c r="AK40" s="98"/>
      <c r="AL40" s="55">
        <f t="shared" si="3"/>
      </c>
      <c r="AM40" s="98"/>
      <c r="AN40" s="55">
        <f t="shared" si="4"/>
      </c>
      <c r="AO40" s="110"/>
      <c r="AQ40" s="100"/>
      <c r="AR40" s="55">
        <f t="shared" si="5"/>
      </c>
      <c r="AS40" s="98"/>
      <c r="AT40" s="55">
        <f t="shared" si="6"/>
      </c>
      <c r="AU40" s="98"/>
      <c r="AV40" s="55">
        <f t="shared" si="7"/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4">
        <v>30</v>
      </c>
      <c r="C41" s="85">
        <v>1969489</v>
      </c>
      <c r="D41" s="138">
        <f t="shared" si="0"/>
        <v>2.113</v>
      </c>
      <c r="E41" s="140">
        <v>4</v>
      </c>
      <c r="F41" s="141">
        <v>0.6</v>
      </c>
      <c r="G41" s="81" t="str">
        <f t="shared" si="8"/>
        <v>0.00</v>
      </c>
      <c r="H41" s="85">
        <v>1000</v>
      </c>
      <c r="I41" s="86">
        <v>6250</v>
      </c>
      <c r="K41" s="87" t="s">
        <v>208</v>
      </c>
      <c r="L41" s="85">
        <v>72</v>
      </c>
      <c r="M41" s="88">
        <v>0.01</v>
      </c>
      <c r="O41" s="107"/>
      <c r="Q41" s="108">
        <v>36</v>
      </c>
      <c r="R41" s="153">
        <v>0.33</v>
      </c>
      <c r="S41" s="109"/>
      <c r="U41" s="93">
        <v>6.8</v>
      </c>
      <c r="V41" s="94">
        <v>6.8</v>
      </c>
      <c r="W41" s="95">
        <v>6.2</v>
      </c>
      <c r="Y41" s="90">
        <v>15</v>
      </c>
      <c r="Z41" s="96">
        <v>16</v>
      </c>
      <c r="AA41" s="92">
        <v>17</v>
      </c>
      <c r="AC41" s="93">
        <v>4.5</v>
      </c>
      <c r="AD41" s="91">
        <v>0.1</v>
      </c>
      <c r="AE41" s="97">
        <v>0</v>
      </c>
      <c r="AG41" s="45">
        <f t="shared" si="1"/>
        <v>30</v>
      </c>
      <c r="AI41" s="98"/>
      <c r="AJ41" s="55">
        <f t="shared" si="2"/>
      </c>
      <c r="AK41" s="98"/>
      <c r="AL41" s="55">
        <f t="shared" si="3"/>
      </c>
      <c r="AM41" s="98"/>
      <c r="AN41" s="55">
        <f t="shared" si="4"/>
      </c>
      <c r="AO41" s="110"/>
      <c r="AQ41" s="100"/>
      <c r="AR41" s="55">
        <f t="shared" si="5"/>
      </c>
      <c r="AS41" s="98"/>
      <c r="AT41" s="55">
        <f t="shared" si="6"/>
      </c>
      <c r="AU41" s="98"/>
      <c r="AV41" s="55">
        <f t="shared" si="7"/>
      </c>
      <c r="AX41" s="100">
        <v>58441</v>
      </c>
      <c r="AY41" s="101">
        <v>3</v>
      </c>
      <c r="AZ41" s="102">
        <v>4</v>
      </c>
      <c r="BA41" s="98">
        <v>37.2</v>
      </c>
      <c r="BB41" s="102">
        <v>29</v>
      </c>
      <c r="BC41" s="98">
        <v>24</v>
      </c>
      <c r="BD41" s="98"/>
      <c r="BE41" s="103"/>
      <c r="BG41" s="100">
        <v>24</v>
      </c>
      <c r="BH41" s="84" t="s">
        <v>212</v>
      </c>
      <c r="BI41" s="104" t="s">
        <v>211</v>
      </c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4">
        <v>31</v>
      </c>
      <c r="C42" s="113"/>
      <c r="D42" s="139" t="str">
        <f t="shared" si="0"/>
        <v> </v>
      </c>
      <c r="E42" s="142"/>
      <c r="F42" s="143"/>
      <c r="G42" s="184" t="str">
        <f t="shared" si="8"/>
        <v> </v>
      </c>
      <c r="H42" s="113"/>
      <c r="I42" s="114"/>
      <c r="K42" s="115"/>
      <c r="L42" s="113"/>
      <c r="M42" s="116"/>
      <c r="O42" s="117"/>
      <c r="Q42" s="133"/>
      <c r="R42" s="112"/>
      <c r="S42" s="114"/>
      <c r="U42" s="134"/>
      <c r="V42" s="135"/>
      <c r="W42" s="136"/>
      <c r="Y42" s="133"/>
      <c r="Z42" s="113"/>
      <c r="AA42" s="114"/>
      <c r="AC42" s="134"/>
      <c r="AD42" s="112"/>
      <c r="AE42" s="116"/>
      <c r="AG42" s="45">
        <f t="shared" si="1"/>
        <v>31</v>
      </c>
      <c r="AI42" s="126"/>
      <c r="AJ42" s="65">
        <f t="shared" si="2"/>
      </c>
      <c r="AK42" s="126"/>
      <c r="AL42" s="65">
        <f t="shared" si="3"/>
      </c>
      <c r="AM42" s="126"/>
      <c r="AN42" s="65">
        <f t="shared" si="4"/>
      </c>
      <c r="AO42" s="127"/>
      <c r="AQ42" s="128"/>
      <c r="AR42" s="65">
        <f t="shared" si="5"/>
      </c>
      <c r="AS42" s="126"/>
      <c r="AT42" s="65">
        <f t="shared" si="6"/>
      </c>
      <c r="AU42" s="126"/>
      <c r="AV42" s="65">
        <f t="shared" si="7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9" t="s">
        <v>150</v>
      </c>
      <c r="BR43" s="239" t="s">
        <v>150</v>
      </c>
      <c r="BS43" s="239" t="s">
        <v>150</v>
      </c>
      <c r="BT43" s="105"/>
      <c r="BU43" s="146">
        <f>(AU49)</f>
        <v>90.82344731332869</v>
      </c>
      <c r="BV43" s="239" t="s">
        <v>150</v>
      </c>
      <c r="BW43" s="239" t="s">
        <v>150</v>
      </c>
      <c r="BX43" s="105" t="s">
        <v>129</v>
      </c>
      <c r="BY43" s="105"/>
      <c r="BZ43" s="105">
        <v>0</v>
      </c>
      <c r="CA43" s="145" t="s">
        <v>49</v>
      </c>
      <c r="CB43" s="105" t="s">
        <v>26</v>
      </c>
      <c r="CC43" s="137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9">
        <f>(IF(((SUM(C12:C42))=0)," ",((MAX(C12:C42))-C11)))</f>
        <v>74511</v>
      </c>
      <c r="D44" s="228">
        <f>(IF(((SUM(D12:D42))=0)," ",(SUM(D12:D42))))</f>
        <v>74.511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82500</v>
      </c>
      <c r="I44" s="196">
        <f>(IF(((SUM(I12:I42))=0)," ",(SUM(I12:I42))))</f>
        <v>161800</v>
      </c>
      <c r="K44" s="200" t="s">
        <v>150</v>
      </c>
      <c r="L44" s="201" t="s">
        <v>150</v>
      </c>
      <c r="M44" s="202">
        <f>(IF(((SUM(M12:M42))=0)," ",(SUM(M11:M42))))</f>
        <v>2.84</v>
      </c>
      <c r="O44" s="203" t="str">
        <f>(IF(((SUM(O12:O42))=0),"0.0",(SUM(O11:O42))))</f>
        <v>0.0</v>
      </c>
      <c r="Q44" s="199">
        <f>(IF(((SUM(Q12:Q42))=0),"0",(SUM(Q11:Q42))))</f>
        <v>782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489187</v>
      </c>
      <c r="AY44" s="201" t="s">
        <v>150</v>
      </c>
      <c r="AZ44" s="212">
        <f>(IF(((SUM(AZ12:AZ42))=0)," ",(SUM(AZ12:AZ42))))</f>
        <v>33</v>
      </c>
      <c r="BA44" s="199">
        <f>(IF(((SUM(BA12:BA42))=0)," ",(SUM(BA12:BA42))))</f>
        <v>331.7</v>
      </c>
      <c r="BB44" s="207" t="s">
        <v>150</v>
      </c>
      <c r="BC44" s="199">
        <f>(IF(((SUM(BC12:BC42))=0)," ",(SUM(BC12:BC42))))</f>
        <v>212</v>
      </c>
      <c r="BD44" s="189" t="str">
        <f>(IF(((SUM(BD12:BD42))=0)," ",(SUM(BD12:BD42))))</f>
        <v> </v>
      </c>
      <c r="BE44" s="210" t="s">
        <v>150</v>
      </c>
      <c r="BG44" s="213">
        <f>(IF(((SUM(BG12:BG42))=0)," ",(SUM(BG12:BG42))))</f>
        <v>212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38" t="s">
        <v>150</v>
      </c>
      <c r="BR44" s="238" t="s">
        <v>150</v>
      </c>
      <c r="BS44" s="238" t="s">
        <v>150</v>
      </c>
      <c r="BT44" s="105"/>
      <c r="BU44" s="159">
        <v>85</v>
      </c>
      <c r="BV44" s="238" t="s">
        <v>150</v>
      </c>
      <c r="BW44" s="238" t="s">
        <v>150</v>
      </c>
      <c r="BX44" s="156" t="s">
        <v>129</v>
      </c>
      <c r="BY44" s="105"/>
      <c r="BZ44" s="238" t="s">
        <v>150</v>
      </c>
      <c r="CA44" s="158" t="s">
        <v>49</v>
      </c>
      <c r="CB44" s="156" t="s">
        <v>26</v>
      </c>
      <c r="CC44" s="137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2.746</v>
      </c>
      <c r="E45" s="216">
        <f>(IF((SUM(E12:E42))=0," ",(MAX(E12:E42))))</f>
        <v>5.4</v>
      </c>
      <c r="F45" s="217">
        <f>(IF((SUM(F12:F42))=0," ",(MAX(F12:F42))))</f>
        <v>1</v>
      </c>
      <c r="G45" s="216">
        <f>(MAX(G12:G42))</f>
        <v>0</v>
      </c>
      <c r="H45" s="162">
        <f>(IF((SUM(H12:H42))=0," ",(MAX(H12:H42))))</f>
        <v>13200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77</v>
      </c>
      <c r="M45" s="219">
        <f>(IF((SUM(M12:M42))=0," ",(MAX(M12:M42))))</f>
        <v>1.02</v>
      </c>
      <c r="O45" s="220" t="s">
        <v>150</v>
      </c>
      <c r="Q45" s="221" t="s">
        <v>150</v>
      </c>
      <c r="R45" s="184">
        <f>(IF(((SUM(R12:R42))=0),"-",(MAX(R12:R42))))</f>
        <v>0.39</v>
      </c>
      <c r="S45" s="163">
        <f>(IF(((SUM(S12:S42))=0),"-",(MAX(S12:S42))))</f>
        <v>804</v>
      </c>
      <c r="U45" s="222">
        <f>(IF((SUM(U12:U42))=0," ",(MAX(U12:U42))))</f>
        <v>8.1</v>
      </c>
      <c r="V45" s="183">
        <f>(IF((SUM(V12:V42))=0," ",(MAX(V12:V42))))</f>
        <v>7.2</v>
      </c>
      <c r="W45" s="223">
        <f>(IF((SUM(W12:W42))=0," ",(MAX(W12:W42))))</f>
        <v>6.4</v>
      </c>
      <c r="Y45" s="218">
        <f>(IF((SUM(Y12:Y42))=0," ",(MAX(Y12:Y42))))</f>
        <v>16</v>
      </c>
      <c r="Z45" s="162">
        <f>(IF((SUM(Z12:Z42))=0," ",(MAX(Z12:Z42))))</f>
        <v>16</v>
      </c>
      <c r="AA45" s="163">
        <f>(IF((SUM(AA12:AA42))=0," ",(MAX(AA12:AA42))))</f>
        <v>18</v>
      </c>
      <c r="AC45" s="222">
        <f>(IF((SUM(AC12:AC42))=0," ",(MAX(AC12:AC42))))</f>
        <v>11</v>
      </c>
      <c r="AD45" s="184">
        <f>(IF((SUM(AD12:AD42))=0," ",(MAX(AD12:AD42))))</f>
        <v>0.5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336</v>
      </c>
      <c r="AJ45" s="162">
        <f t="shared" si="9"/>
        <v>6879.03216</v>
      </c>
      <c r="AK45" s="218">
        <f t="shared" si="9"/>
        <v>186</v>
      </c>
      <c r="AL45" s="163">
        <f t="shared" si="9"/>
        <v>3902.91984</v>
      </c>
      <c r="AM45" s="218">
        <f t="shared" si="9"/>
        <v>22</v>
      </c>
      <c r="AN45" s="163">
        <f t="shared" si="9"/>
        <v>446.6904</v>
      </c>
      <c r="AO45" s="224">
        <f t="shared" si="9"/>
        <v>14</v>
      </c>
      <c r="AQ45" s="218">
        <f aca="true" t="shared" si="10" ref="AQ45:AV45">(IF((SUM(AQ12:AQ42))=0," ",(MAX(AQ12:AQ42))))</f>
        <v>288</v>
      </c>
      <c r="AR45" s="163">
        <f t="shared" si="10"/>
        <v>6372.29376</v>
      </c>
      <c r="AS45" s="218">
        <f t="shared" si="10"/>
        <v>116</v>
      </c>
      <c r="AT45" s="163">
        <f t="shared" si="10"/>
        <v>2273.4840000000004</v>
      </c>
      <c r="AU45" s="218">
        <f t="shared" si="10"/>
        <v>29</v>
      </c>
      <c r="AV45" s="163">
        <f t="shared" si="10"/>
        <v>594.73374</v>
      </c>
      <c r="AX45" s="221" t="s">
        <v>150</v>
      </c>
      <c r="AY45" s="183">
        <f>(IF((SUM(AY12:AY42))=0," ",(MAX(AY12:AY42))))</f>
        <v>6</v>
      </c>
      <c r="AZ45" s="225" t="s">
        <v>150</v>
      </c>
      <c r="BA45" s="221" t="s">
        <v>150</v>
      </c>
      <c r="BB45" s="223">
        <f>(IF((SUM(BB12:BB42))=0," ",(MAX(BB12:BB42))))</f>
        <v>29</v>
      </c>
      <c r="BC45" s="221" t="s">
        <v>150</v>
      </c>
      <c r="BD45" s="179" t="s">
        <v>150</v>
      </c>
      <c r="BE45" s="219" t="str">
        <f>(IF((SUM(BE12:BE42))=0," ",(MAX(BE12:BE42))))</f>
        <v> </v>
      </c>
      <c r="BG45" s="226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2.113</v>
      </c>
      <c r="E46" s="227">
        <f>(IF((SUM(E12:E42))=0," ",(MIN(E12:E42))))</f>
        <v>3.6</v>
      </c>
      <c r="F46" s="228">
        <f>(IF((SUM(F12:F42))=0," ",(MIN(F12:F42))))</f>
        <v>0.6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54</v>
      </c>
      <c r="M46" s="202">
        <f>(IF((SUM(M12:M42))=0," ",(MIN(M12:M42))))</f>
        <v>0</v>
      </c>
      <c r="O46" s="229" t="s">
        <v>150</v>
      </c>
      <c r="Q46" s="208" t="s">
        <v>150</v>
      </c>
      <c r="R46" s="191">
        <f>(IF(((SUM(R12:R42))=0),"-",(MIN(R12:R42))))</f>
        <v>0.2</v>
      </c>
      <c r="S46" s="196">
        <f>(IF(((SUM(S12:S42))=0),"-",(MIN(S12:S42))))</f>
        <v>12</v>
      </c>
      <c r="U46" s="230">
        <f>(IF((SUM(U12:U42))=0," ",(MIN(U12:U42))))</f>
        <v>6.8</v>
      </c>
      <c r="V46" s="192">
        <f>(IF((SUM(V12:V42))=0," ",(MIN(V12:V42))))</f>
        <v>6.8</v>
      </c>
      <c r="W46" s="212">
        <f>(IF((SUM(W12:W42))=0," ",(MIN(W12:W42))))</f>
        <v>6.1</v>
      </c>
      <c r="Y46" s="199">
        <f aca="true" t="shared" si="11" ref="Y46:AD46">(IF((SUM(Y12:Y42))=0," ",(MIN(Y12:Y42))))</f>
        <v>12</v>
      </c>
      <c r="Z46" s="189">
        <f t="shared" si="11"/>
        <v>13</v>
      </c>
      <c r="AA46" s="196">
        <f t="shared" si="11"/>
        <v>14</v>
      </c>
      <c r="AB46" t="str">
        <f t="shared" si="11"/>
        <v> </v>
      </c>
      <c r="AC46" s="230">
        <f t="shared" si="11"/>
        <v>3</v>
      </c>
      <c r="AD46" s="191">
        <f t="shared" si="11"/>
        <v>0.01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154</v>
      </c>
      <c r="AJ46" s="189">
        <f t="shared" si="12"/>
        <v>3158.2412400000003</v>
      </c>
      <c r="AK46" s="199">
        <f t="shared" si="12"/>
        <v>153</v>
      </c>
      <c r="AL46" s="196">
        <f t="shared" si="12"/>
        <v>2998.647</v>
      </c>
      <c r="AM46" s="199">
        <f t="shared" si="12"/>
        <v>12</v>
      </c>
      <c r="AN46" s="196">
        <f t="shared" si="12"/>
        <v>238.79088000000002</v>
      </c>
      <c r="AO46" s="231">
        <f t="shared" si="12"/>
        <v>7</v>
      </c>
      <c r="AQ46" s="199">
        <f aca="true" t="shared" si="13" ref="AQ46:AV46">(IF((SUM(AQ12:AQ42))=0," ",(MIN(AQ12:AQ42))))</f>
        <v>206</v>
      </c>
      <c r="AR46" s="196">
        <f t="shared" si="13"/>
        <v>4224.66036</v>
      </c>
      <c r="AS46" s="199">
        <f t="shared" si="13"/>
        <v>71</v>
      </c>
      <c r="AT46" s="196">
        <f t="shared" si="13"/>
        <v>1489.82424</v>
      </c>
      <c r="AU46" s="199">
        <f t="shared" si="13"/>
        <v>17</v>
      </c>
      <c r="AV46" s="196">
        <f t="shared" si="13"/>
        <v>335.59326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 t="str">
        <f>(IF((SUM(BE12:BE42))=0," ",(MIN(BE12:BE42))))</f>
        <v> </v>
      </c>
      <c r="BG46" s="232" t="s">
        <v>150</v>
      </c>
      <c r="BH46" s="214" t="s">
        <v>150</v>
      </c>
      <c r="BI46" s="215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2.4837</v>
      </c>
      <c r="E47" s="216">
        <f>(IF((SUM(E12:E42))=0," ",(AVERAGE(E12:E42))))</f>
        <v>4.01</v>
      </c>
      <c r="F47" s="217">
        <f>(IF((SUM(F12:F42))=0," ",(AVERAGE(F12:F42))))</f>
        <v>0.7433333333333338</v>
      </c>
      <c r="G47" s="216" t="str">
        <f>(IF((SUM(G12:G42))=0,"0.000",(AVERAGE(G12:G42))))</f>
        <v>0.000</v>
      </c>
      <c r="H47" s="162">
        <f>(IF((SUM(H12:H42))=0," ",(AVERAGE(H12:H42))))</f>
        <v>2750</v>
      </c>
      <c r="I47" s="163">
        <f>(IF((SUM(I12:I42))=0," ",(AVERAGE(I12:I42))))</f>
        <v>5393.333333333333</v>
      </c>
      <c r="K47" s="180" t="s">
        <v>150</v>
      </c>
      <c r="L47" s="183">
        <f>(IF((SUM(L12:L42))=0," ",(AVERAGE(L12:L42))))</f>
        <v>63</v>
      </c>
      <c r="M47" s="219">
        <f>(IF((SUM(M12:M42))=0," ",(AVERAGE(M12:M42))))</f>
        <v>0.09466666666666666</v>
      </c>
      <c r="O47" s="220" t="s">
        <v>150</v>
      </c>
      <c r="Q47" s="218">
        <f>(IF((SUM(Q12:Q42))=0," ",(AVERAGE(Q12:Q42))))</f>
        <v>26.066666666666666</v>
      </c>
      <c r="R47" s="233" t="s">
        <v>150</v>
      </c>
      <c r="S47" s="234" t="s">
        <v>150</v>
      </c>
      <c r="U47" s="222">
        <f>(IF((SUM(U12:U42))=0," ",(AVERAGE(U12:U42))))</f>
        <v>7.183333333333332</v>
      </c>
      <c r="V47" s="183">
        <f>(IF((SUM(V12:V42))=0," ",(AVERAGE(V12:V42))))</f>
        <v>6.936666666666669</v>
      </c>
      <c r="W47" s="223">
        <f>(IF((SUM(W12:W42))=0," ",(AVERAGE(W12:W42))))</f>
        <v>6.3066666666666675</v>
      </c>
      <c r="Y47" s="218">
        <f>(IF((SUM(Y12:Y42))=0," ",(AVERAGE(Y12:Y42))))</f>
        <v>14.433333333333334</v>
      </c>
      <c r="Z47" s="162">
        <f>(IF((SUM(Z12:Z42))=0," ",(AVERAGE(Z12:Z42))))</f>
        <v>14.433333333333334</v>
      </c>
      <c r="AA47" s="163">
        <f>(IF((SUM(AA12:AA42))=0," ",(AVERAGE(AA12:AA42))))</f>
        <v>15.8</v>
      </c>
      <c r="AC47" s="222">
        <f>(IF((SUM(AC12:AC42))=0," ",(AVERAGE(AC12:AC42))))</f>
        <v>5.9</v>
      </c>
      <c r="AD47" s="184">
        <f>(IF((SUM(AD12:AD42))=0," ",(AVERAGE(AD12:AD42))))</f>
        <v>0.047333333333333345</v>
      </c>
      <c r="AE47" s="219">
        <f>(IF((COUNT(AE12:AE42))=0," ",(AVERAGE(AE12:AE42))))</f>
        <v>0.0003333333333333333</v>
      </c>
      <c r="AG47" s="26" t="str">
        <f>($A47)</f>
        <v>Average</v>
      </c>
      <c r="AI47" s="162">
        <f aca="true" t="shared" si="14" ref="AI47:AO47">(IF((SUM(AI12:AI42))=0," ",(AVERAGE(AI12:AI42))))</f>
        <v>260.8333333333333</v>
      </c>
      <c r="AJ47" s="162">
        <f t="shared" si="14"/>
        <v>5431.81837</v>
      </c>
      <c r="AK47" s="218">
        <f t="shared" si="14"/>
        <v>173.5</v>
      </c>
      <c r="AL47" s="163">
        <f t="shared" si="14"/>
        <v>3595.976565</v>
      </c>
      <c r="AM47" s="218">
        <f t="shared" si="14"/>
        <v>15.666666666666666</v>
      </c>
      <c r="AN47" s="163">
        <f t="shared" si="14"/>
        <v>327.59798</v>
      </c>
      <c r="AO47" s="224">
        <f t="shared" si="14"/>
        <v>10.75</v>
      </c>
      <c r="AQ47" s="218">
        <f aca="true" t="shared" si="15" ref="AQ47:AV47">(IF((SUM(AQ12:AQ42))=0," ",(AVERAGE(AQ12:AQ42))))</f>
        <v>238.83333333333334</v>
      </c>
      <c r="AR47" s="163">
        <f t="shared" si="15"/>
        <v>4969.93388</v>
      </c>
      <c r="AS47" s="218">
        <f t="shared" si="15"/>
        <v>87.25</v>
      </c>
      <c r="AT47" s="163">
        <f t="shared" si="15"/>
        <v>1797.75789</v>
      </c>
      <c r="AU47" s="218">
        <f t="shared" si="15"/>
        <v>21.916666666666668</v>
      </c>
      <c r="AV47" s="163">
        <f t="shared" si="15"/>
        <v>457.2008849999999</v>
      </c>
      <c r="AX47" s="218">
        <f aca="true" t="shared" si="16" ref="AX47:BE47">(IF((SUM(AX12:AX42))=0," ",(AVERAGE(AX12:AX42))))</f>
        <v>48918.7</v>
      </c>
      <c r="AY47" s="183">
        <f t="shared" si="16"/>
        <v>3</v>
      </c>
      <c r="AZ47" s="223">
        <f t="shared" si="16"/>
        <v>3.3</v>
      </c>
      <c r="BA47" s="218">
        <f t="shared" si="16"/>
        <v>33.17</v>
      </c>
      <c r="BB47" s="223">
        <f t="shared" si="16"/>
        <v>27.1</v>
      </c>
      <c r="BC47" s="218">
        <f t="shared" si="16"/>
        <v>21.2</v>
      </c>
      <c r="BD47" s="162" t="str">
        <f t="shared" si="16"/>
        <v> </v>
      </c>
      <c r="BE47" s="219" t="str">
        <f t="shared" si="16"/>
        <v> </v>
      </c>
      <c r="BG47" s="133">
        <f>(IF((SUM(BG12:BG42))=0," ",(AVERAGE(BG12:BG42))))</f>
        <v>21.2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61" t="s">
        <v>203</v>
      </c>
      <c r="BR48" s="239" t="s">
        <v>150</v>
      </c>
      <c r="BS48" s="261" t="s">
        <v>203</v>
      </c>
      <c r="BT48" s="105"/>
      <c r="BU48" s="239" t="s">
        <v>150</v>
      </c>
      <c r="BV48" s="144">
        <f>(S49)</f>
        <v>69.14546267346289</v>
      </c>
      <c r="BW48" s="144">
        <f>(S45)</f>
        <v>804</v>
      </c>
      <c r="BX48" s="239" t="s">
        <v>150</v>
      </c>
      <c r="BY48" s="105"/>
      <c r="BZ48" s="105">
        <v>0</v>
      </c>
      <c r="CA48" s="149" t="s">
        <v>205</v>
      </c>
      <c r="CB48" s="105" t="s">
        <v>23</v>
      </c>
      <c r="CC48" s="27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>
        <f>(IF(((SUM(S12:S42))=0),"-",(GEOMEAN(S12:S42))))</f>
        <v>69.14546267346289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93.96890769011483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90.82344731332869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60" t="s">
        <v>203</v>
      </c>
      <c r="BR49" s="238" t="s">
        <v>150</v>
      </c>
      <c r="BS49" s="260" t="s">
        <v>203</v>
      </c>
      <c r="BT49" s="105"/>
      <c r="BU49" s="238" t="s">
        <v>150</v>
      </c>
      <c r="BV49" s="157">
        <v>142</v>
      </c>
      <c r="BW49" s="157">
        <v>949</v>
      </c>
      <c r="BX49" s="262" t="s">
        <v>204</v>
      </c>
      <c r="BY49" s="105"/>
      <c r="BZ49" s="238" t="s">
        <v>150</v>
      </c>
      <c r="CA49" s="161" t="s">
        <v>205</v>
      </c>
      <c r="CB49" s="156" t="s">
        <v>23</v>
      </c>
      <c r="CC49" s="27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264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264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4"/>
      <c r="C52" s="4"/>
      <c r="D52" s="4"/>
      <c r="E52" s="4"/>
      <c r="F52" s="4"/>
      <c r="G52" s="4"/>
      <c r="H52" s="4"/>
      <c r="I52" s="4"/>
      <c r="K52" s="4"/>
      <c r="L52" s="4"/>
      <c r="M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H52" t="s">
        <v>201</v>
      </c>
      <c r="AI52" s="4" t="s">
        <v>216</v>
      </c>
      <c r="AJ52" s="4"/>
      <c r="AK52" s="4"/>
      <c r="AL52" s="4"/>
      <c r="AM52" s="4"/>
      <c r="AN52" s="4"/>
      <c r="AO52" s="4"/>
      <c r="AQ52" s="4"/>
      <c r="AR52" s="4"/>
      <c r="AS52" s="4"/>
      <c r="AT52" s="4"/>
      <c r="AU52" s="4"/>
      <c r="AV52" s="4"/>
      <c r="AX52" s="4"/>
      <c r="AY52" s="4"/>
      <c r="AZ52" s="4"/>
      <c r="BA52" s="4"/>
      <c r="BB52" s="4"/>
      <c r="BC52" s="4"/>
      <c r="BD52" s="4"/>
      <c r="BE52" s="4"/>
      <c r="BG52" s="4"/>
      <c r="BH52" s="4"/>
      <c r="BI52" s="4"/>
      <c r="BK52" s="4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4"/>
    </row>
    <row r="53" spans="1:94" ht="18" customHeight="1">
      <c r="A53" s="4"/>
      <c r="C53" s="4"/>
      <c r="D53" s="4"/>
      <c r="E53" s="4"/>
      <c r="F53" s="4"/>
      <c r="G53" s="4"/>
      <c r="H53" s="4"/>
      <c r="I53" s="4"/>
      <c r="K53" s="4"/>
      <c r="L53" s="4"/>
      <c r="M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I53" s="4" t="s">
        <v>217</v>
      </c>
      <c r="AJ53" s="4"/>
      <c r="AK53" s="4"/>
      <c r="AL53" s="4"/>
      <c r="AM53" s="4"/>
      <c r="AN53" s="4"/>
      <c r="AO53" s="4"/>
      <c r="AQ53" s="4"/>
      <c r="AR53" s="4"/>
      <c r="AS53" s="4"/>
      <c r="AT53" s="4"/>
      <c r="AU53" s="4"/>
      <c r="AV53" s="4"/>
      <c r="AX53" s="4"/>
      <c r="AY53" s="4"/>
      <c r="AZ53" s="4"/>
      <c r="BA53" s="4"/>
      <c r="BB53" s="4"/>
      <c r="BC53" s="4"/>
      <c r="BD53" s="4"/>
      <c r="BE53" s="4"/>
      <c r="BG53" s="4"/>
      <c r="BH53" s="4"/>
      <c r="BI53" s="4"/>
      <c r="BK53" s="4"/>
      <c r="BL53" s="19"/>
      <c r="BM53" s="20" t="s">
        <v>206</v>
      </c>
      <c r="BN53" s="20"/>
      <c r="BO53" s="57" t="s">
        <v>130</v>
      </c>
      <c r="BP53" s="20"/>
      <c r="BQ53" s="261" t="s">
        <v>203</v>
      </c>
      <c r="BR53" s="239" t="s">
        <v>150</v>
      </c>
      <c r="BS53" s="261" t="s">
        <v>203</v>
      </c>
      <c r="BT53" s="105"/>
      <c r="BU53" s="239" t="s">
        <v>150</v>
      </c>
      <c r="BV53" s="239" t="s">
        <v>150</v>
      </c>
      <c r="BW53" s="147">
        <f>(R45)</f>
        <v>0.39</v>
      </c>
      <c r="BX53" s="239" t="s">
        <v>150</v>
      </c>
      <c r="BY53" s="105"/>
      <c r="BZ53" s="105">
        <v>0</v>
      </c>
      <c r="CA53" s="149" t="s">
        <v>207</v>
      </c>
      <c r="CB53" s="105" t="s">
        <v>23</v>
      </c>
      <c r="CC53" s="27"/>
      <c r="CP53" s="4"/>
    </row>
    <row r="54" spans="1:94" ht="18" customHeight="1">
      <c r="A54" s="4"/>
      <c r="C54" s="4"/>
      <c r="D54" s="4"/>
      <c r="E54" s="4"/>
      <c r="F54" s="4"/>
      <c r="G54" s="4"/>
      <c r="H54" s="4"/>
      <c r="I54" s="4"/>
      <c r="K54" s="4"/>
      <c r="L54" s="4"/>
      <c r="M54" s="4"/>
      <c r="O54" s="4"/>
      <c r="Q54" s="4"/>
      <c r="R54" s="4"/>
      <c r="S54" s="4"/>
      <c r="U54" s="4"/>
      <c r="V54" s="4"/>
      <c r="W54" s="4"/>
      <c r="Y54" s="4"/>
      <c r="Z54" s="4"/>
      <c r="AA54" s="4"/>
      <c r="AC54" s="4"/>
      <c r="AD54" s="4"/>
      <c r="AE54" s="4"/>
      <c r="AG54" s="4"/>
      <c r="AI54" s="4"/>
      <c r="AJ54" s="4"/>
      <c r="AK54" s="4"/>
      <c r="AL54" s="4"/>
      <c r="AM54" s="4"/>
      <c r="AN54" s="4"/>
      <c r="AO54" s="4"/>
      <c r="AQ54" s="4"/>
      <c r="AR54" s="4"/>
      <c r="AS54" s="4"/>
      <c r="AT54" s="4"/>
      <c r="AU54" s="4"/>
      <c r="AV54" s="4"/>
      <c r="AX54" s="4"/>
      <c r="AY54" s="4"/>
      <c r="AZ54" s="4"/>
      <c r="BA54" s="4"/>
      <c r="BB54" s="4"/>
      <c r="BC54" s="4"/>
      <c r="BD54" s="4"/>
      <c r="BE54" s="4"/>
      <c r="BG54" s="4"/>
      <c r="BH54" s="4"/>
      <c r="BI54" s="4"/>
      <c r="BK54" s="4"/>
      <c r="BL54" s="19"/>
      <c r="BM54" s="26" t="s">
        <v>86</v>
      </c>
      <c r="BN54" s="20"/>
      <c r="BO54" s="154" t="s">
        <v>131</v>
      </c>
      <c r="BP54" s="20"/>
      <c r="BQ54" s="260" t="s">
        <v>203</v>
      </c>
      <c r="BR54" s="238" t="s">
        <v>150</v>
      </c>
      <c r="BS54" s="260" t="s">
        <v>203</v>
      </c>
      <c r="BT54" s="105"/>
      <c r="BU54" s="238" t="s">
        <v>150</v>
      </c>
      <c r="BV54" s="238" t="s">
        <v>150</v>
      </c>
      <c r="BW54" s="262">
        <v>0.86</v>
      </c>
      <c r="BX54" s="262" t="s">
        <v>44</v>
      </c>
      <c r="BY54" s="105"/>
      <c r="BZ54" s="238" t="s">
        <v>150</v>
      </c>
      <c r="CA54" s="158" t="s">
        <v>207</v>
      </c>
      <c r="CB54" s="156" t="s">
        <v>23</v>
      </c>
      <c r="CC54" s="27"/>
      <c r="CP54" s="4"/>
    </row>
    <row r="55" spans="1:94" ht="18" customHeight="1">
      <c r="A55" s="3"/>
      <c r="C55" s="3"/>
      <c r="D55" s="3"/>
      <c r="E55" s="3"/>
      <c r="F55" s="3"/>
      <c r="G55" s="3"/>
      <c r="H55" s="3"/>
      <c r="I55" s="3"/>
      <c r="K55" s="3"/>
      <c r="L55" s="3"/>
      <c r="M55" s="3"/>
      <c r="O55" s="3"/>
      <c r="Q55" s="3"/>
      <c r="R55" s="3"/>
      <c r="S55" s="3"/>
      <c r="U55" s="3"/>
      <c r="V55" s="3"/>
      <c r="W55" s="3"/>
      <c r="Y55" s="3"/>
      <c r="Z55" s="3"/>
      <c r="AA55" s="3"/>
      <c r="AC55" s="3"/>
      <c r="AD55" s="3"/>
      <c r="AE55" s="3"/>
      <c r="AG55" s="4"/>
      <c r="AI55" s="4"/>
      <c r="AJ55" s="4"/>
      <c r="AK55" s="4"/>
      <c r="AL55" s="4"/>
      <c r="AM55" s="4"/>
      <c r="AN55" s="4"/>
      <c r="AO55" s="4"/>
      <c r="AQ55" s="4"/>
      <c r="AR55" s="4"/>
      <c r="AS55" s="4"/>
      <c r="AT55" s="4"/>
      <c r="AU55" s="4"/>
      <c r="AV55" s="4"/>
      <c r="AX55" s="4"/>
      <c r="AY55" s="4"/>
      <c r="AZ55" s="4"/>
      <c r="BA55" s="4"/>
      <c r="BB55" s="4"/>
      <c r="BC55" s="4"/>
      <c r="BD55" s="4"/>
      <c r="BE55" s="4"/>
      <c r="BG55" s="4"/>
      <c r="BH55" s="4"/>
      <c r="BI55" s="4"/>
      <c r="BK55" s="4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4"/>
    </row>
    <row r="56" spans="1:94" ht="18" customHeight="1">
      <c r="A56" s="3"/>
      <c r="C56" s="3"/>
      <c r="D56" s="3"/>
      <c r="E56" s="3"/>
      <c r="F56" s="3"/>
      <c r="G56" s="3"/>
      <c r="H56" s="3"/>
      <c r="I56" s="3"/>
      <c r="K56" s="3"/>
      <c r="L56" s="3"/>
      <c r="M56" s="3"/>
      <c r="O56" s="3"/>
      <c r="Q56" s="3"/>
      <c r="R56" s="3"/>
      <c r="S56" s="3"/>
      <c r="U56" s="3"/>
      <c r="V56" s="3"/>
      <c r="W56" s="3"/>
      <c r="Y56" s="3"/>
      <c r="Z56" s="3"/>
      <c r="AA56" s="3"/>
      <c r="AC56" s="3"/>
      <c r="AD56" s="3"/>
      <c r="AE56" s="3"/>
      <c r="AG56" s="4"/>
      <c r="AI56" s="4"/>
      <c r="AJ56" s="4"/>
      <c r="AK56" s="4"/>
      <c r="AL56" s="4"/>
      <c r="AM56" s="4"/>
      <c r="AN56" s="4"/>
      <c r="AO56" s="4"/>
      <c r="AQ56" s="4"/>
      <c r="AR56" s="4"/>
      <c r="AS56" s="4"/>
      <c r="AT56" s="4"/>
      <c r="AU56" s="4"/>
      <c r="AV56" s="4"/>
      <c r="AX56" s="4"/>
      <c r="AY56" s="4"/>
      <c r="AZ56" s="4"/>
      <c r="BA56" s="4"/>
      <c r="BB56" s="4"/>
      <c r="BC56" s="4"/>
      <c r="BD56" s="4"/>
      <c r="BE56" s="4"/>
      <c r="BG56" s="4"/>
      <c r="BH56" s="4"/>
      <c r="BI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P56" s="4"/>
    </row>
    <row r="57" spans="1:94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P57" s="4"/>
    </row>
    <row r="58" spans="1:94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P58" s="4"/>
    </row>
    <row r="59" spans="1:94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 password="CCAE" sheet="1" objects="1" scenarios="1"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195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July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July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266">
        <v>1969489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5">
        <v>1971770</v>
      </c>
      <c r="D12" s="138">
        <f aca="true" t="shared" si="0" ref="D12:D42">(IF(C12=0," ",((C12-C11)/1000)))</f>
        <v>2.281</v>
      </c>
      <c r="E12" s="140">
        <v>3.9</v>
      </c>
      <c r="F12" s="141">
        <v>0.6</v>
      </c>
      <c r="G12" s="81" t="str">
        <f>(IF(C12=0," ","0.00"))</f>
        <v>0.00</v>
      </c>
      <c r="H12" s="85">
        <v>4750</v>
      </c>
      <c r="I12" s="86">
        <v>6000</v>
      </c>
      <c r="J12" s="11"/>
      <c r="K12" s="87" t="s">
        <v>210</v>
      </c>
      <c r="L12" s="85">
        <v>65</v>
      </c>
      <c r="M12" s="88">
        <v>0.01</v>
      </c>
      <c r="N12" s="11"/>
      <c r="O12" s="89"/>
      <c r="P12" s="11"/>
      <c r="Q12" s="108">
        <v>33</v>
      </c>
      <c r="R12" s="153">
        <v>0.41</v>
      </c>
      <c r="S12" s="109">
        <v>3</v>
      </c>
      <c r="T12" s="11"/>
      <c r="U12" s="93">
        <v>7</v>
      </c>
      <c r="V12" s="94">
        <v>6.9</v>
      </c>
      <c r="W12" s="95">
        <v>6.4</v>
      </c>
      <c r="X12" s="11"/>
      <c r="Y12" s="90">
        <v>16</v>
      </c>
      <c r="Z12" s="96">
        <v>15</v>
      </c>
      <c r="AA12" s="92">
        <v>17</v>
      </c>
      <c r="AB12" s="11"/>
      <c r="AC12" s="93">
        <v>8</v>
      </c>
      <c r="AD12" s="91">
        <v>0.1</v>
      </c>
      <c r="AE12" s="97">
        <v>0.01</v>
      </c>
      <c r="AF12" s="11"/>
      <c r="AG12" s="45">
        <f aca="true" t="shared" si="1" ref="AG12:AG42">($A12)</f>
        <v>1</v>
      </c>
      <c r="AH12" s="11"/>
      <c r="AI12" s="98">
        <v>254</v>
      </c>
      <c r="AJ12" s="55">
        <f aca="true" t="shared" si="2" ref="AJ12:AJ42">IF(AI12=0,"",(D12*AI12*8.34))</f>
        <v>4831.97916</v>
      </c>
      <c r="AK12" s="98"/>
      <c r="AL12" s="55">
        <f aca="true" t="shared" si="3" ref="AL12:AL42">IF(AK12=0,"",(D12*AK12*8.34))</f>
      </c>
      <c r="AM12" s="98">
        <v>9</v>
      </c>
      <c r="AN12" s="55">
        <f aca="true" t="shared" si="4" ref="AN12:AN42">IF(AM12=0,"",(D12*AM12*8.34))</f>
        <v>171.21186</v>
      </c>
      <c r="AO12" s="99">
        <v>6</v>
      </c>
      <c r="AP12" s="11"/>
      <c r="AQ12" s="100">
        <v>284</v>
      </c>
      <c r="AR12" s="55">
        <f aca="true" t="shared" si="5" ref="AR12:AR42">IF(AQ12=0,"",(D12*AQ12*8.34))</f>
        <v>5402.68536</v>
      </c>
      <c r="AS12" s="98"/>
      <c r="AT12" s="55">
        <f aca="true" t="shared" si="6" ref="AT12:AT42">IF(AS12=0,"",(D12*AS12*8.34))</f>
      </c>
      <c r="AU12" s="98">
        <v>18</v>
      </c>
      <c r="AV12" s="55">
        <f aca="true" t="shared" si="7" ref="AV12:AV42">IF(AU12=0,"",(D12*AU12*8.34))</f>
        <v>342.42372</v>
      </c>
      <c r="AW12" s="11"/>
      <c r="AX12" s="100"/>
      <c r="AY12" s="101"/>
      <c r="AZ12" s="102"/>
      <c r="BA12" s="98"/>
      <c r="BB12" s="102"/>
      <c r="BC12" s="98"/>
      <c r="BD12" s="98"/>
      <c r="BE12" s="103"/>
      <c r="BF12" s="11"/>
      <c r="BG12" s="100"/>
      <c r="BH12" s="84"/>
      <c r="BI12" s="104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6">
        <f>(IF(((SUM(AN12:AN42))=0)," ",(AVERAGE(AN12:AN42))))</f>
        <v>198.8136857142857</v>
      </c>
      <c r="BR12" s="186">
        <f>MAX(AN12:AN42)</f>
        <v>312.38304</v>
      </c>
      <c r="BS12" s="26" t="s">
        <v>126</v>
      </c>
      <c r="BT12" s="26"/>
      <c r="BU12" s="186">
        <f>(IF(((SUM(AM12:AM42))=0)," ",(AVERAGE(AM12:AM42))))</f>
        <v>10.928571428571429</v>
      </c>
      <c r="BV12" s="58">
        <f>(CG23)</f>
        <v>15.666666666666666</v>
      </c>
      <c r="BW12" s="186">
        <f>MAX(AM12:AM42)</f>
        <v>16</v>
      </c>
      <c r="BX12" s="26" t="s">
        <v>128</v>
      </c>
      <c r="BY12" s="26"/>
      <c r="BZ12" s="26">
        <v>0</v>
      </c>
      <c r="CA12" s="267" t="s">
        <v>47</v>
      </c>
      <c r="CB12" s="26">
        <v>24</v>
      </c>
      <c r="CC12" s="137"/>
      <c r="CE12" s="24"/>
      <c r="CF12" s="20" t="s">
        <v>138</v>
      </c>
      <c r="CG12" s="106">
        <f>(IF(((SUM(AM12:AM18))=0)," ",(AVERAGE(AM12:AM18))))</f>
        <v>9.666666666666666</v>
      </c>
      <c r="CH12" s="106">
        <f>(IF(((SUM(AN12:AN18))=0)," ",(AVERAGE(AN12:AN18))))</f>
        <v>185.67342</v>
      </c>
      <c r="CI12" s="286"/>
      <c r="CJ12" s="106">
        <f>(IF(((SUM(AU12:AU18))=0)," ",(AVERAGE(AU12:AU18))))</f>
        <v>18.333333333333332</v>
      </c>
      <c r="CK12" s="106">
        <f>(IF(((SUM(AV12:AV18))=0)," ",(AVERAGE(AV12:AV18))))</f>
        <v>352.22044000000005</v>
      </c>
      <c r="CL12" s="53"/>
      <c r="CM12" s="152">
        <f>(AVERAGE(AE12:AE16))</f>
        <v>0.002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5">
        <v>1974024</v>
      </c>
      <c r="D13" s="138">
        <f t="shared" si="0"/>
        <v>2.254</v>
      </c>
      <c r="E13" s="140">
        <v>4</v>
      </c>
      <c r="F13" s="141">
        <v>0.6</v>
      </c>
      <c r="G13" s="81" t="str">
        <f aca="true" t="shared" si="8" ref="G13:G42">(IF(C13=0," ","0.00"))</f>
        <v>0.00</v>
      </c>
      <c r="H13" s="85">
        <v>0</v>
      </c>
      <c r="I13" s="86">
        <v>7000</v>
      </c>
      <c r="J13" s="11"/>
      <c r="K13" s="87" t="s">
        <v>210</v>
      </c>
      <c r="L13" s="85">
        <v>68</v>
      </c>
      <c r="M13" s="88">
        <v>0</v>
      </c>
      <c r="N13" s="11"/>
      <c r="O13" s="107"/>
      <c r="P13" s="11"/>
      <c r="Q13" s="108">
        <v>34</v>
      </c>
      <c r="R13" s="153">
        <v>0.34</v>
      </c>
      <c r="S13" s="109">
        <v>8</v>
      </c>
      <c r="T13" s="11"/>
      <c r="U13" s="93">
        <v>7</v>
      </c>
      <c r="V13" s="94">
        <v>6.9</v>
      </c>
      <c r="W13" s="95">
        <v>6.1</v>
      </c>
      <c r="X13" s="11"/>
      <c r="Y13" s="90">
        <v>15</v>
      </c>
      <c r="Z13" s="96">
        <v>15</v>
      </c>
      <c r="AA13" s="92">
        <v>17</v>
      </c>
      <c r="AB13" s="11"/>
      <c r="AC13" s="93">
        <v>5</v>
      </c>
      <c r="AD13" s="91">
        <v>0.01</v>
      </c>
      <c r="AE13" s="97">
        <v>0</v>
      </c>
      <c r="AF13" s="11"/>
      <c r="AG13" s="45">
        <f t="shared" si="1"/>
        <v>2</v>
      </c>
      <c r="AH13" s="11"/>
      <c r="AI13" s="98">
        <v>241</v>
      </c>
      <c r="AJ13" s="55">
        <f t="shared" si="2"/>
        <v>4530.40476</v>
      </c>
      <c r="AK13" s="98"/>
      <c r="AL13" s="55">
        <f t="shared" si="3"/>
      </c>
      <c r="AM13" s="98">
        <v>10</v>
      </c>
      <c r="AN13" s="55">
        <f t="shared" si="4"/>
        <v>187.9836</v>
      </c>
      <c r="AO13" s="110">
        <v>6</v>
      </c>
      <c r="AP13" s="11"/>
      <c r="AQ13" s="100">
        <v>254</v>
      </c>
      <c r="AR13" s="55">
        <f t="shared" si="5"/>
        <v>4774.783439999999</v>
      </c>
      <c r="AS13" s="98"/>
      <c r="AT13" s="55">
        <f t="shared" si="6"/>
      </c>
      <c r="AU13" s="98">
        <v>18</v>
      </c>
      <c r="AV13" s="55">
        <f t="shared" si="7"/>
        <v>338.37048000000004</v>
      </c>
      <c r="AW13" s="11"/>
      <c r="AX13" s="100"/>
      <c r="AY13" s="101"/>
      <c r="AZ13" s="102"/>
      <c r="BA13" s="98"/>
      <c r="BB13" s="102"/>
      <c r="BC13" s="98"/>
      <c r="BD13" s="98"/>
      <c r="BE13" s="103"/>
      <c r="BF13" s="11"/>
      <c r="BG13" s="100"/>
      <c r="BH13" s="84"/>
      <c r="BI13" s="104"/>
      <c r="BJ13" s="11"/>
      <c r="BK13" s="17"/>
      <c r="BL13" s="19"/>
      <c r="BM13" s="26" t="s">
        <v>86</v>
      </c>
      <c r="BN13" s="20"/>
      <c r="BO13" s="154" t="s">
        <v>131</v>
      </c>
      <c r="BP13" s="26"/>
      <c r="BQ13" s="268">
        <v>963</v>
      </c>
      <c r="BR13" s="268">
        <v>1605</v>
      </c>
      <c r="BS13" s="155" t="s">
        <v>126</v>
      </c>
      <c r="BT13" s="26"/>
      <c r="BU13" s="268">
        <v>30</v>
      </c>
      <c r="BV13" s="269">
        <v>45</v>
      </c>
      <c r="BW13" s="268">
        <v>50</v>
      </c>
      <c r="BX13" s="155" t="s">
        <v>128</v>
      </c>
      <c r="BY13" s="26"/>
      <c r="BZ13" s="270" t="s">
        <v>150</v>
      </c>
      <c r="CA13" s="271" t="s">
        <v>47</v>
      </c>
      <c r="CB13" s="155">
        <v>24</v>
      </c>
      <c r="CC13" s="137"/>
      <c r="CE13" s="24"/>
      <c r="CF13" s="20"/>
      <c r="CG13" s="286"/>
      <c r="CH13" s="286"/>
      <c r="CI13" s="286"/>
      <c r="CJ13" s="286"/>
      <c r="CK13" s="286"/>
      <c r="CL13" s="53"/>
      <c r="CM13" s="287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5">
        <v>1976396</v>
      </c>
      <c r="D14" s="138">
        <f t="shared" si="0"/>
        <v>2.372</v>
      </c>
      <c r="E14" s="140">
        <v>3.6</v>
      </c>
      <c r="F14" s="141">
        <v>0.6</v>
      </c>
      <c r="G14" s="81" t="str">
        <f t="shared" si="8"/>
        <v>0.00</v>
      </c>
      <c r="H14" s="85">
        <v>9300</v>
      </c>
      <c r="I14" s="86">
        <v>5000</v>
      </c>
      <c r="K14" s="87" t="s">
        <v>208</v>
      </c>
      <c r="L14" s="85">
        <v>72</v>
      </c>
      <c r="M14" s="88">
        <v>0</v>
      </c>
      <c r="O14" s="107"/>
      <c r="Q14" s="108">
        <v>33</v>
      </c>
      <c r="R14" s="153">
        <v>0.32</v>
      </c>
      <c r="S14" s="109">
        <v>6</v>
      </c>
      <c r="U14" s="93">
        <v>7.2</v>
      </c>
      <c r="V14" s="94">
        <v>6.8</v>
      </c>
      <c r="W14" s="95">
        <v>6.1</v>
      </c>
      <c r="Y14" s="90">
        <v>15</v>
      </c>
      <c r="Z14" s="96">
        <v>16</v>
      </c>
      <c r="AA14" s="92">
        <v>17</v>
      </c>
      <c r="AC14" s="93">
        <v>7.5</v>
      </c>
      <c r="AD14" s="91">
        <v>0.01</v>
      </c>
      <c r="AE14" s="97">
        <v>0</v>
      </c>
      <c r="AG14" s="45">
        <f t="shared" si="1"/>
        <v>3</v>
      </c>
      <c r="AI14" s="98">
        <v>233</v>
      </c>
      <c r="AJ14" s="55">
        <f t="shared" si="2"/>
        <v>4609.31784</v>
      </c>
      <c r="AK14" s="98">
        <v>123</v>
      </c>
      <c r="AL14" s="55">
        <f t="shared" si="3"/>
        <v>2433.24504</v>
      </c>
      <c r="AM14" s="98">
        <v>10</v>
      </c>
      <c r="AN14" s="55">
        <f t="shared" si="4"/>
        <v>197.82479999999998</v>
      </c>
      <c r="AO14" s="110">
        <v>7</v>
      </c>
      <c r="AQ14" s="100">
        <v>220</v>
      </c>
      <c r="AR14" s="55">
        <f t="shared" si="5"/>
        <v>4352.145599999999</v>
      </c>
      <c r="AS14" s="98">
        <v>78</v>
      </c>
      <c r="AT14" s="55">
        <f t="shared" si="6"/>
        <v>1543.03344</v>
      </c>
      <c r="AU14" s="98">
        <v>19</v>
      </c>
      <c r="AV14" s="55">
        <f t="shared" si="7"/>
        <v>375.86712</v>
      </c>
      <c r="AX14" s="100">
        <v>54797</v>
      </c>
      <c r="AY14" s="101">
        <v>3</v>
      </c>
      <c r="AZ14" s="102">
        <v>4</v>
      </c>
      <c r="BA14" s="98">
        <v>31</v>
      </c>
      <c r="BB14" s="102">
        <v>27</v>
      </c>
      <c r="BC14" s="98">
        <v>24</v>
      </c>
      <c r="BD14" s="98"/>
      <c r="BE14" s="103"/>
      <c r="BG14" s="100">
        <v>24</v>
      </c>
      <c r="BH14" s="84" t="s">
        <v>212</v>
      </c>
      <c r="BI14" s="104" t="s">
        <v>211</v>
      </c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(IF(((SUM(AM19:AM25))=0)," ",(AVERAGE(AM19:AM25))))</f>
        <v>15.666666666666666</v>
      </c>
      <c r="CH14" s="106">
        <f>(IF(((SUM(AN19:AN25))=0)," ",(AVERAGE(AN19:AN25))))</f>
        <v>289.3563</v>
      </c>
      <c r="CI14" s="286"/>
      <c r="CJ14" s="106">
        <f>(IF(((SUM(AU19:AU25))=0)," ",(AVERAGE(AU19:AU25))))</f>
        <v>20.333333333333332</v>
      </c>
      <c r="CK14" s="106">
        <f>(IF(((SUM(AV19:AV25))=0)," ",(AVERAGE(AV19:AV25))))</f>
        <v>378.22178</v>
      </c>
      <c r="CL14" s="53"/>
      <c r="CM14" s="152">
        <f>(AVERAGE(AE17:AE23))</f>
        <v>0.004285714285714286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5">
        <v>1978549</v>
      </c>
      <c r="D15" s="138">
        <f t="shared" si="0"/>
        <v>2.153</v>
      </c>
      <c r="E15" s="140">
        <v>3.6</v>
      </c>
      <c r="F15" s="141">
        <v>0.6</v>
      </c>
      <c r="G15" s="81" t="str">
        <f t="shared" si="8"/>
        <v>0.00</v>
      </c>
      <c r="H15" s="85">
        <v>1200</v>
      </c>
      <c r="I15" s="86">
        <v>0</v>
      </c>
      <c r="K15" s="87" t="s">
        <v>208</v>
      </c>
      <c r="L15" s="85">
        <v>68</v>
      </c>
      <c r="M15" s="88">
        <v>0</v>
      </c>
      <c r="O15" s="107"/>
      <c r="Q15" s="108">
        <v>27</v>
      </c>
      <c r="R15" s="153">
        <v>0.28</v>
      </c>
      <c r="S15" s="109"/>
      <c r="U15" s="93">
        <v>6.8</v>
      </c>
      <c r="V15" s="94">
        <v>6.9</v>
      </c>
      <c r="W15" s="95">
        <v>6.4</v>
      </c>
      <c r="Y15" s="90">
        <v>16</v>
      </c>
      <c r="Z15" s="96">
        <v>16</v>
      </c>
      <c r="AA15" s="92">
        <v>17</v>
      </c>
      <c r="AC15" s="93">
        <v>8</v>
      </c>
      <c r="AD15" s="91">
        <v>0.1</v>
      </c>
      <c r="AE15" s="97">
        <v>0</v>
      </c>
      <c r="AG15" s="45">
        <f t="shared" si="1"/>
        <v>4</v>
      </c>
      <c r="AI15" s="98"/>
      <c r="AJ15" s="55">
        <f t="shared" si="2"/>
      </c>
      <c r="AK15" s="98"/>
      <c r="AL15" s="55">
        <f t="shared" si="3"/>
      </c>
      <c r="AM15" s="98"/>
      <c r="AN15" s="55">
        <f t="shared" si="4"/>
      </c>
      <c r="AO15" s="110"/>
      <c r="AQ15" s="100"/>
      <c r="AR15" s="55">
        <f t="shared" si="5"/>
      </c>
      <c r="AS15" s="98"/>
      <c r="AT15" s="55">
        <f t="shared" si="6"/>
      </c>
      <c r="AU15" s="98"/>
      <c r="AV15" s="55">
        <f t="shared" si="7"/>
      </c>
      <c r="AX15" s="100"/>
      <c r="AY15" s="101"/>
      <c r="AZ15" s="102"/>
      <c r="BA15" s="98"/>
      <c r="BB15" s="102"/>
      <c r="BC15" s="98"/>
      <c r="BD15" s="98"/>
      <c r="BE15" s="103"/>
      <c r="BG15" s="100"/>
      <c r="BH15" s="84"/>
      <c r="BI15" s="104"/>
      <c r="CE15" s="24"/>
      <c r="CF15" s="20"/>
      <c r="CG15" s="286"/>
      <c r="CH15" s="286"/>
      <c r="CI15" s="286"/>
      <c r="CJ15" s="286"/>
      <c r="CK15" s="286"/>
      <c r="CL15" s="53"/>
      <c r="CM15" s="287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3">
        <v>1980521</v>
      </c>
      <c r="D16" s="139">
        <f t="shared" si="0"/>
        <v>1.972</v>
      </c>
      <c r="E16" s="142">
        <v>3.8</v>
      </c>
      <c r="F16" s="143">
        <v>0.6</v>
      </c>
      <c r="G16" s="184" t="str">
        <f t="shared" si="8"/>
        <v>0.00</v>
      </c>
      <c r="H16" s="113">
        <v>2000</v>
      </c>
      <c r="I16" s="114">
        <v>1750</v>
      </c>
      <c r="K16" s="115" t="s">
        <v>210</v>
      </c>
      <c r="L16" s="113">
        <v>74</v>
      </c>
      <c r="M16" s="116">
        <v>0.2</v>
      </c>
      <c r="O16" s="117"/>
      <c r="Q16" s="257">
        <v>21</v>
      </c>
      <c r="R16" s="258">
        <v>0.4</v>
      </c>
      <c r="S16" s="263"/>
      <c r="U16" s="118">
        <v>7.3</v>
      </c>
      <c r="V16" s="119">
        <v>7</v>
      </c>
      <c r="W16" s="120">
        <v>6.1</v>
      </c>
      <c r="Y16" s="121">
        <v>16</v>
      </c>
      <c r="Z16" s="122">
        <v>16</v>
      </c>
      <c r="AA16" s="123">
        <v>17</v>
      </c>
      <c r="AC16" s="118">
        <v>9</v>
      </c>
      <c r="AD16" s="124">
        <v>0.01</v>
      </c>
      <c r="AE16" s="125">
        <v>0</v>
      </c>
      <c r="AG16" s="45">
        <f t="shared" si="1"/>
        <v>5</v>
      </c>
      <c r="AI16" s="126"/>
      <c r="AJ16" s="65">
        <f t="shared" si="2"/>
      </c>
      <c r="AK16" s="126"/>
      <c r="AL16" s="65">
        <f t="shared" si="3"/>
      </c>
      <c r="AM16" s="126"/>
      <c r="AN16" s="65">
        <f t="shared" si="4"/>
      </c>
      <c r="AO16" s="127"/>
      <c r="AQ16" s="128"/>
      <c r="AR16" s="65">
        <f t="shared" si="5"/>
      </c>
      <c r="AS16" s="126"/>
      <c r="AT16" s="65">
        <f t="shared" si="6"/>
      </c>
      <c r="AU16" s="126"/>
      <c r="AV16" s="65">
        <f t="shared" si="7"/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(IF(((SUM(AM26:AM32))=0)," ",(AVERAGE(AM26:AM32))))</f>
        <v>9</v>
      </c>
      <c r="CH16" s="106">
        <f>(IF(((SUM(AN26:AN32))=0)," ",(AVERAGE(AN26:AN32))))</f>
        <v>160.74794</v>
      </c>
      <c r="CI16" s="286"/>
      <c r="CJ16" s="106">
        <f>(IF(((SUM(AU26:AU32))=0)," ",(AVERAGE(AU26:AU32))))</f>
        <v>20</v>
      </c>
      <c r="CK16" s="106">
        <f>(IF(((SUM(AV26:AV32))=0)," ",(AVERAGE(AV26:AV32))))</f>
        <v>357.7165</v>
      </c>
      <c r="CL16" s="53"/>
      <c r="CM16" s="152">
        <f>(AVERAGE(AE24:AE30))</f>
        <v>0.002857142857142857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5">
        <v>1982657</v>
      </c>
      <c r="D17" s="138">
        <f t="shared" si="0"/>
        <v>2.136</v>
      </c>
      <c r="E17" s="140">
        <v>3.6</v>
      </c>
      <c r="F17" s="141">
        <v>0.6</v>
      </c>
      <c r="G17" s="81" t="str">
        <f t="shared" si="8"/>
        <v>0.00</v>
      </c>
      <c r="H17" s="85">
        <v>0</v>
      </c>
      <c r="I17" s="86">
        <v>0</v>
      </c>
      <c r="K17" s="87" t="s">
        <v>210</v>
      </c>
      <c r="L17" s="85">
        <v>77</v>
      </c>
      <c r="M17" s="88">
        <v>0.01</v>
      </c>
      <c r="O17" s="107"/>
      <c r="Q17" s="108">
        <v>21</v>
      </c>
      <c r="R17" s="153">
        <v>0.33</v>
      </c>
      <c r="S17" s="109"/>
      <c r="U17" s="93">
        <v>7</v>
      </c>
      <c r="V17" s="94">
        <v>6.9</v>
      </c>
      <c r="W17" s="95">
        <v>6.2</v>
      </c>
      <c r="Y17" s="90">
        <v>15</v>
      </c>
      <c r="Z17" s="96">
        <v>16</v>
      </c>
      <c r="AA17" s="92">
        <v>18</v>
      </c>
      <c r="AC17" s="93">
        <v>4</v>
      </c>
      <c r="AD17" s="91">
        <v>0.01</v>
      </c>
      <c r="AE17" s="97">
        <v>0</v>
      </c>
      <c r="AG17" s="45">
        <f t="shared" si="1"/>
        <v>6</v>
      </c>
      <c r="AI17" s="98"/>
      <c r="AJ17" s="55">
        <f t="shared" si="2"/>
      </c>
      <c r="AK17" s="98"/>
      <c r="AL17" s="55">
        <f t="shared" si="3"/>
      </c>
      <c r="AM17" s="98"/>
      <c r="AN17" s="55">
        <f t="shared" si="4"/>
      </c>
      <c r="AO17" s="110"/>
      <c r="AQ17" s="100"/>
      <c r="AR17" s="55">
        <f t="shared" si="5"/>
      </c>
      <c r="AS17" s="98"/>
      <c r="AT17" s="55">
        <f t="shared" si="6"/>
      </c>
      <c r="AU17" s="98"/>
      <c r="AV17" s="55">
        <f t="shared" si="7"/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72" t="s">
        <v>150</v>
      </c>
      <c r="BR17" s="272" t="s">
        <v>150</v>
      </c>
      <c r="BS17" s="272" t="s">
        <v>150</v>
      </c>
      <c r="BT17" s="26"/>
      <c r="BU17" s="68">
        <f>MIN(W12:W42)</f>
        <v>6.1</v>
      </c>
      <c r="BV17" s="272" t="s">
        <v>150</v>
      </c>
      <c r="BW17" s="68">
        <f>MAX(W12:W42)</f>
        <v>6.8</v>
      </c>
      <c r="BX17" s="26" t="s">
        <v>43</v>
      </c>
      <c r="BY17" s="26"/>
      <c r="BZ17" s="26">
        <v>0</v>
      </c>
      <c r="CA17" s="267" t="s">
        <v>48</v>
      </c>
      <c r="CB17" s="26" t="s">
        <v>23</v>
      </c>
      <c r="CC17" s="137"/>
      <c r="CE17" s="69"/>
      <c r="CF17" s="20"/>
      <c r="CG17" s="286"/>
      <c r="CH17" s="286"/>
      <c r="CI17" s="286"/>
      <c r="CJ17" s="286"/>
      <c r="CK17" s="286"/>
      <c r="CL17" s="20"/>
      <c r="CM17" s="287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5">
        <v>1984763</v>
      </c>
      <c r="D18" s="138">
        <f t="shared" si="0"/>
        <v>2.106</v>
      </c>
      <c r="E18" s="140">
        <v>4.4</v>
      </c>
      <c r="F18" s="141">
        <v>0.6</v>
      </c>
      <c r="G18" s="81" t="str">
        <f t="shared" si="8"/>
        <v>0.00</v>
      </c>
      <c r="H18" s="85">
        <v>8200</v>
      </c>
      <c r="I18" s="86">
        <v>8750</v>
      </c>
      <c r="K18" s="87" t="s">
        <v>210</v>
      </c>
      <c r="L18" s="85">
        <v>72</v>
      </c>
      <c r="M18" s="88">
        <v>0.01</v>
      </c>
      <c r="O18" s="107"/>
      <c r="Q18" s="108">
        <v>22</v>
      </c>
      <c r="R18" s="153">
        <v>0.29</v>
      </c>
      <c r="S18" s="109">
        <v>52</v>
      </c>
      <c r="U18" s="93">
        <v>7.3</v>
      </c>
      <c r="V18" s="94">
        <v>6.5</v>
      </c>
      <c r="W18" s="95">
        <v>6.4</v>
      </c>
      <c r="Y18" s="90">
        <v>16</v>
      </c>
      <c r="Z18" s="96">
        <v>17</v>
      </c>
      <c r="AA18" s="92">
        <v>17</v>
      </c>
      <c r="AC18" s="93">
        <v>6</v>
      </c>
      <c r="AD18" s="91">
        <v>0.3</v>
      </c>
      <c r="AE18" s="97">
        <v>0</v>
      </c>
      <c r="AG18" s="45">
        <f t="shared" si="1"/>
        <v>7</v>
      </c>
      <c r="AI18" s="98"/>
      <c r="AJ18" s="55">
        <f t="shared" si="2"/>
      </c>
      <c r="AK18" s="98"/>
      <c r="AL18" s="55">
        <f t="shared" si="3"/>
      </c>
      <c r="AM18" s="98"/>
      <c r="AN18" s="55">
        <f t="shared" si="4"/>
      </c>
      <c r="AO18" s="110"/>
      <c r="AQ18" s="100"/>
      <c r="AR18" s="55">
        <f t="shared" si="5"/>
      </c>
      <c r="AS18" s="98"/>
      <c r="AT18" s="55">
        <f t="shared" si="6"/>
      </c>
      <c r="AU18" s="98"/>
      <c r="AV18" s="55">
        <f t="shared" si="7"/>
      </c>
      <c r="AX18" s="100">
        <v>59399</v>
      </c>
      <c r="AY18" s="101">
        <v>3</v>
      </c>
      <c r="AZ18" s="102">
        <v>4.5</v>
      </c>
      <c r="BA18" s="98">
        <v>34</v>
      </c>
      <c r="BB18" s="102">
        <v>27</v>
      </c>
      <c r="BC18" s="98">
        <v>24</v>
      </c>
      <c r="BD18" s="98"/>
      <c r="BE18" s="103"/>
      <c r="BG18" s="100">
        <v>24</v>
      </c>
      <c r="BH18" s="84" t="s">
        <v>212</v>
      </c>
      <c r="BI18" s="104" t="s">
        <v>211</v>
      </c>
      <c r="BK18" s="17"/>
      <c r="BL18" s="19"/>
      <c r="BM18" s="26" t="s">
        <v>86</v>
      </c>
      <c r="BN18" s="20"/>
      <c r="BO18" s="154" t="s">
        <v>131</v>
      </c>
      <c r="BP18" s="26"/>
      <c r="BQ18" s="270" t="s">
        <v>150</v>
      </c>
      <c r="BR18" s="270" t="s">
        <v>150</v>
      </c>
      <c r="BS18" s="270" t="s">
        <v>150</v>
      </c>
      <c r="BT18" s="26"/>
      <c r="BU18" s="273">
        <v>6</v>
      </c>
      <c r="BV18" s="270" t="s">
        <v>150</v>
      </c>
      <c r="BW18" s="155">
        <v>8.5</v>
      </c>
      <c r="BX18" s="155" t="s">
        <v>43</v>
      </c>
      <c r="BY18" s="26"/>
      <c r="BZ18" s="270" t="s">
        <v>150</v>
      </c>
      <c r="CA18" s="271" t="s">
        <v>48</v>
      </c>
      <c r="CB18" s="155" t="s">
        <v>23</v>
      </c>
      <c r="CC18" s="137"/>
      <c r="CE18" s="69"/>
      <c r="CF18" s="20" t="s">
        <v>141</v>
      </c>
      <c r="CG18" s="106">
        <f>(IF(((SUM(AM33:AM39))=0)," ",(AVERAGE(AM33:AM39))))</f>
        <v>9.333333333333334</v>
      </c>
      <c r="CH18" s="106">
        <f>(IF(((SUM(AN33:AN39))=0)," ",(AVERAGE(AN33:AN39))))</f>
        <v>168.9823</v>
      </c>
      <c r="CI18" s="286"/>
      <c r="CJ18" s="106">
        <f>(IF(((SUM(AU33:AU39))=0)," ",(AVERAGE(AU33:AU39))))</f>
        <v>17.333333333333332</v>
      </c>
      <c r="CK18" s="106">
        <f>(IF(((SUM(AV33:AV39))=0)," ",(AVERAGE(AV33:AV39))))</f>
        <v>314.34572000000003</v>
      </c>
      <c r="CL18" s="20"/>
      <c r="CM18" s="152">
        <f>(AVERAGE(AE31:AE37))</f>
        <v>0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5">
        <v>1986974</v>
      </c>
      <c r="D19" s="138">
        <f t="shared" si="0"/>
        <v>2.211</v>
      </c>
      <c r="E19" s="140">
        <v>3.4</v>
      </c>
      <c r="F19" s="141">
        <v>0.6</v>
      </c>
      <c r="G19" s="81" t="str">
        <f t="shared" si="8"/>
        <v>0.00</v>
      </c>
      <c r="H19" s="85">
        <v>2300</v>
      </c>
      <c r="I19" s="86">
        <v>8000</v>
      </c>
      <c r="K19" s="87" t="s">
        <v>208</v>
      </c>
      <c r="L19" s="85">
        <v>70</v>
      </c>
      <c r="M19" s="88">
        <v>0.01</v>
      </c>
      <c r="O19" s="107"/>
      <c r="Q19" s="108">
        <v>23</v>
      </c>
      <c r="R19" s="153">
        <v>0.28</v>
      </c>
      <c r="S19" s="109">
        <v>62</v>
      </c>
      <c r="U19" s="93">
        <v>7.1</v>
      </c>
      <c r="V19" s="94">
        <v>7</v>
      </c>
      <c r="W19" s="95">
        <v>6.5</v>
      </c>
      <c r="Y19" s="90">
        <v>16</v>
      </c>
      <c r="Z19" s="96">
        <v>16</v>
      </c>
      <c r="AA19" s="92">
        <v>18</v>
      </c>
      <c r="AC19" s="93">
        <v>13</v>
      </c>
      <c r="AD19" s="91">
        <v>0.1</v>
      </c>
      <c r="AE19" s="97">
        <v>0.01</v>
      </c>
      <c r="AG19" s="45">
        <f t="shared" si="1"/>
        <v>8</v>
      </c>
      <c r="AI19" s="98"/>
      <c r="AJ19" s="55">
        <f t="shared" si="2"/>
      </c>
      <c r="AK19" s="98"/>
      <c r="AL19" s="55">
        <f t="shared" si="3"/>
      </c>
      <c r="AM19" s="98"/>
      <c r="AN19" s="55">
        <f t="shared" si="4"/>
      </c>
      <c r="AO19" s="110"/>
      <c r="AQ19" s="100"/>
      <c r="AR19" s="55">
        <f t="shared" si="5"/>
      </c>
      <c r="AS19" s="98"/>
      <c r="AT19" s="55">
        <f t="shared" si="6"/>
      </c>
      <c r="AU19" s="98"/>
      <c r="AV19" s="55">
        <f t="shared" si="7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86"/>
      <c r="CH19" s="286"/>
      <c r="CI19" s="286"/>
      <c r="CJ19" s="286"/>
      <c r="CK19" s="286"/>
      <c r="CL19" s="20"/>
      <c r="CM19" s="287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5">
        <v>1989145</v>
      </c>
      <c r="D20" s="138">
        <f t="shared" si="0"/>
        <v>2.171</v>
      </c>
      <c r="E20" s="140">
        <v>4.6</v>
      </c>
      <c r="F20" s="141">
        <v>0.6</v>
      </c>
      <c r="G20" s="81" t="str">
        <f t="shared" si="8"/>
        <v>0.00</v>
      </c>
      <c r="H20" s="85">
        <v>7500</v>
      </c>
      <c r="I20" s="86">
        <v>9000</v>
      </c>
      <c r="K20" s="87" t="s">
        <v>208</v>
      </c>
      <c r="L20" s="85">
        <v>69</v>
      </c>
      <c r="M20" s="88">
        <v>0</v>
      </c>
      <c r="O20" s="107"/>
      <c r="Q20" s="108">
        <v>23</v>
      </c>
      <c r="R20" s="153">
        <v>0.23</v>
      </c>
      <c r="S20" s="109">
        <v>208</v>
      </c>
      <c r="U20" s="93">
        <v>7.2</v>
      </c>
      <c r="V20" s="94">
        <v>7</v>
      </c>
      <c r="W20" s="95">
        <v>6.3</v>
      </c>
      <c r="Y20" s="90">
        <v>16</v>
      </c>
      <c r="Z20" s="96">
        <v>16</v>
      </c>
      <c r="AA20" s="92">
        <v>18</v>
      </c>
      <c r="AC20" s="93">
        <v>9</v>
      </c>
      <c r="AD20" s="91">
        <v>0.01</v>
      </c>
      <c r="AE20" s="97">
        <v>0.01</v>
      </c>
      <c r="AG20" s="45">
        <f t="shared" si="1"/>
        <v>9</v>
      </c>
      <c r="AI20" s="98">
        <v>287</v>
      </c>
      <c r="AJ20" s="55">
        <f t="shared" si="2"/>
        <v>5196.4621799999995</v>
      </c>
      <c r="AK20" s="98"/>
      <c r="AL20" s="55">
        <f t="shared" si="3"/>
      </c>
      <c r="AM20" s="98">
        <v>15</v>
      </c>
      <c r="AN20" s="55">
        <f t="shared" si="4"/>
        <v>271.59209999999996</v>
      </c>
      <c r="AO20" s="110">
        <v>8</v>
      </c>
      <c r="AQ20" s="100">
        <v>326</v>
      </c>
      <c r="AR20" s="55">
        <f t="shared" si="5"/>
        <v>5902.60164</v>
      </c>
      <c r="AS20" s="98"/>
      <c r="AT20" s="55">
        <f t="shared" si="6"/>
      </c>
      <c r="AU20" s="98">
        <v>21</v>
      </c>
      <c r="AV20" s="55">
        <f t="shared" si="7"/>
        <v>380.22893999999997</v>
      </c>
      <c r="AX20" s="100"/>
      <c r="AY20" s="101"/>
      <c r="AZ20" s="102"/>
      <c r="BA20" s="98"/>
      <c r="BB20" s="102"/>
      <c r="BC20" s="98"/>
      <c r="BD20" s="98"/>
      <c r="BE20" s="103"/>
      <c r="BG20" s="100"/>
      <c r="BH20" s="84"/>
      <c r="BI20" s="104"/>
      <c r="CE20" s="69"/>
      <c r="CF20" s="20" t="s">
        <v>142</v>
      </c>
      <c r="CG20" s="106"/>
      <c r="CH20" s="106"/>
      <c r="CI20" s="286"/>
      <c r="CJ20" s="106"/>
      <c r="CK20" s="106"/>
      <c r="CL20" s="20"/>
      <c r="CM20" s="152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3">
        <v>1991486</v>
      </c>
      <c r="D21" s="139">
        <f t="shared" si="0"/>
        <v>2.341</v>
      </c>
      <c r="E21" s="142">
        <v>3.8</v>
      </c>
      <c r="F21" s="143">
        <v>0.6</v>
      </c>
      <c r="G21" s="184" t="str">
        <f t="shared" si="8"/>
        <v>0.00</v>
      </c>
      <c r="H21" s="113">
        <v>5400</v>
      </c>
      <c r="I21" s="114">
        <v>9000</v>
      </c>
      <c r="K21" s="115" t="s">
        <v>210</v>
      </c>
      <c r="L21" s="113">
        <v>64</v>
      </c>
      <c r="M21" s="116">
        <v>0</v>
      </c>
      <c r="O21" s="117"/>
      <c r="Q21" s="257">
        <v>22</v>
      </c>
      <c r="R21" s="258">
        <v>0.33</v>
      </c>
      <c r="S21" s="263"/>
      <c r="U21" s="118">
        <v>7.2</v>
      </c>
      <c r="V21" s="119">
        <v>6.2</v>
      </c>
      <c r="W21" s="120">
        <v>6.2</v>
      </c>
      <c r="Y21" s="121">
        <v>16</v>
      </c>
      <c r="Z21" s="122">
        <v>16</v>
      </c>
      <c r="AA21" s="123">
        <v>18</v>
      </c>
      <c r="AC21" s="118">
        <v>17</v>
      </c>
      <c r="AD21" s="124">
        <v>2.5</v>
      </c>
      <c r="AE21" s="125">
        <v>0</v>
      </c>
      <c r="AG21" s="45">
        <f t="shared" si="1"/>
        <v>10</v>
      </c>
      <c r="AH21" s="265" t="s">
        <v>201</v>
      </c>
      <c r="AI21" s="126">
        <v>283</v>
      </c>
      <c r="AJ21" s="65">
        <f t="shared" si="2"/>
        <v>5525.27502</v>
      </c>
      <c r="AK21" s="126"/>
      <c r="AL21" s="65">
        <f t="shared" si="3"/>
      </c>
      <c r="AM21" s="126">
        <v>16</v>
      </c>
      <c r="AN21" s="65">
        <f t="shared" si="4"/>
        <v>312.38304</v>
      </c>
      <c r="AO21" s="127">
        <v>13</v>
      </c>
      <c r="AQ21" s="128">
        <v>388</v>
      </c>
      <c r="AR21" s="65">
        <f t="shared" si="5"/>
        <v>7575.2887200000005</v>
      </c>
      <c r="AS21" s="126"/>
      <c r="AT21" s="65">
        <f t="shared" si="6"/>
      </c>
      <c r="AU21" s="126">
        <v>25</v>
      </c>
      <c r="AV21" s="65">
        <f t="shared" si="7"/>
        <v>488.09850000000006</v>
      </c>
      <c r="AX21" s="128">
        <v>63939</v>
      </c>
      <c r="AY21" s="129">
        <v>4</v>
      </c>
      <c r="AZ21" s="130">
        <v>3.75</v>
      </c>
      <c r="BA21" s="126">
        <v>37</v>
      </c>
      <c r="BB21" s="130">
        <v>27</v>
      </c>
      <c r="BC21" s="126">
        <v>24</v>
      </c>
      <c r="BD21" s="126"/>
      <c r="BE21" s="131"/>
      <c r="BG21" s="128">
        <v>24</v>
      </c>
      <c r="BH21" s="111" t="s">
        <v>212</v>
      </c>
      <c r="BI21" s="132" t="s">
        <v>211</v>
      </c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5">
        <v>1993615</v>
      </c>
      <c r="D22" s="138">
        <f t="shared" si="0"/>
        <v>2.129</v>
      </c>
      <c r="E22" s="140">
        <v>3.8</v>
      </c>
      <c r="F22" s="141">
        <v>0.6</v>
      </c>
      <c r="G22" s="81" t="str">
        <f t="shared" si="8"/>
        <v>0.00</v>
      </c>
      <c r="H22" s="85">
        <v>6100</v>
      </c>
      <c r="I22" s="86">
        <v>8000</v>
      </c>
      <c r="K22" s="87" t="s">
        <v>208</v>
      </c>
      <c r="L22" s="85">
        <v>59</v>
      </c>
      <c r="M22" s="88">
        <v>0.29</v>
      </c>
      <c r="O22" s="107"/>
      <c r="Q22" s="108">
        <v>21</v>
      </c>
      <c r="R22" s="153">
        <v>0.2</v>
      </c>
      <c r="S22" s="109"/>
      <c r="U22" s="93">
        <v>6.7</v>
      </c>
      <c r="V22" s="94">
        <v>6.8</v>
      </c>
      <c r="W22" s="95">
        <v>6.5</v>
      </c>
      <c r="Y22" s="90">
        <v>18</v>
      </c>
      <c r="Z22" s="96">
        <v>18</v>
      </c>
      <c r="AA22" s="92">
        <v>18</v>
      </c>
      <c r="AC22" s="93">
        <v>6</v>
      </c>
      <c r="AD22" s="91">
        <v>0.1</v>
      </c>
      <c r="AE22" s="97">
        <v>0.01</v>
      </c>
      <c r="AG22" s="45">
        <f t="shared" si="1"/>
        <v>11</v>
      </c>
      <c r="AH22" s="265" t="s">
        <v>218</v>
      </c>
      <c r="AI22" s="98">
        <v>361</v>
      </c>
      <c r="AJ22" s="55">
        <f t="shared" si="2"/>
        <v>6409.86546</v>
      </c>
      <c r="AK22" s="98">
        <v>164</v>
      </c>
      <c r="AL22" s="55">
        <f t="shared" si="3"/>
        <v>2911.96104</v>
      </c>
      <c r="AM22" s="98">
        <v>16</v>
      </c>
      <c r="AN22" s="55">
        <f t="shared" si="4"/>
        <v>284.09376</v>
      </c>
      <c r="AO22" s="110"/>
      <c r="AQ22" s="100">
        <v>374</v>
      </c>
      <c r="AR22" s="55">
        <f t="shared" si="5"/>
        <v>6640.69164</v>
      </c>
      <c r="AS22" s="98">
        <v>123</v>
      </c>
      <c r="AT22" s="55">
        <f t="shared" si="6"/>
        <v>2183.97078</v>
      </c>
      <c r="AU22" s="98">
        <v>15</v>
      </c>
      <c r="AV22" s="55">
        <f t="shared" si="7"/>
        <v>266.3379</v>
      </c>
      <c r="AX22" s="100"/>
      <c r="AY22" s="101"/>
      <c r="AZ22" s="102"/>
      <c r="BA22" s="98"/>
      <c r="BB22" s="102"/>
      <c r="BC22" s="98"/>
      <c r="BD22" s="98"/>
      <c r="BE22" s="103"/>
      <c r="BG22" s="100"/>
      <c r="BH22" s="84"/>
      <c r="BI22" s="104"/>
      <c r="BK22" s="17"/>
      <c r="BL22" s="19"/>
      <c r="BM22" s="56" t="s">
        <v>21</v>
      </c>
      <c r="BN22" s="20"/>
      <c r="BO22" s="57" t="s">
        <v>130</v>
      </c>
      <c r="BP22" s="26"/>
      <c r="BQ22" s="186">
        <f>(IF(((SUM(AV12:AV42))=0)," ",(AVERAGE(AV12:AV42))))</f>
        <v>346.1505085714286</v>
      </c>
      <c r="BR22" s="186">
        <f>MAX(AV12:AV42)</f>
        <v>488.09850000000006</v>
      </c>
      <c r="BS22" s="26" t="s">
        <v>126</v>
      </c>
      <c r="BT22" s="26"/>
      <c r="BU22" s="186">
        <f>(IF(((SUM(AU12:AU42))=0)," ",(AVERAGE(AU12:AU42))))</f>
        <v>19</v>
      </c>
      <c r="BV22" s="58">
        <f>(CJ23)</f>
        <v>20.333333333333332</v>
      </c>
      <c r="BW22" s="186">
        <f>MAX(AU12:AU42)</f>
        <v>25</v>
      </c>
      <c r="BX22" s="26" t="s">
        <v>128</v>
      </c>
      <c r="BY22" s="26"/>
      <c r="BZ22" s="26">
        <v>0</v>
      </c>
      <c r="CA22" s="267" t="s">
        <v>47</v>
      </c>
      <c r="CB22" s="26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5">
        <v>1995816</v>
      </c>
      <c r="D23" s="138">
        <f t="shared" si="0"/>
        <v>2.201</v>
      </c>
      <c r="E23" s="140">
        <v>3.6</v>
      </c>
      <c r="F23" s="141">
        <v>0.6</v>
      </c>
      <c r="G23" s="81" t="str">
        <f t="shared" si="8"/>
        <v>0.00</v>
      </c>
      <c r="H23" s="85">
        <v>2000</v>
      </c>
      <c r="I23" s="86">
        <v>1000</v>
      </c>
      <c r="K23" s="87" t="s">
        <v>208</v>
      </c>
      <c r="L23" s="85">
        <v>63</v>
      </c>
      <c r="M23" s="88">
        <v>0</v>
      </c>
      <c r="O23" s="107"/>
      <c r="Q23" s="108">
        <v>21</v>
      </c>
      <c r="R23" s="153">
        <v>0.28</v>
      </c>
      <c r="S23" s="109"/>
      <c r="U23" s="93">
        <v>6.9</v>
      </c>
      <c r="V23" s="94">
        <v>6.9</v>
      </c>
      <c r="W23" s="95">
        <v>6.4</v>
      </c>
      <c r="Y23" s="90">
        <v>17</v>
      </c>
      <c r="Z23" s="96">
        <v>16</v>
      </c>
      <c r="AA23" s="92">
        <v>18</v>
      </c>
      <c r="AC23" s="93">
        <v>5</v>
      </c>
      <c r="AD23" s="91">
        <v>0.01</v>
      </c>
      <c r="AE23" s="97">
        <v>0</v>
      </c>
      <c r="AG23" s="45">
        <f t="shared" si="1"/>
        <v>12</v>
      </c>
      <c r="AI23" s="98"/>
      <c r="AJ23" s="55">
        <f t="shared" si="2"/>
      </c>
      <c r="AK23" s="98"/>
      <c r="AL23" s="55">
        <f t="shared" si="3"/>
      </c>
      <c r="AM23" s="98"/>
      <c r="AN23" s="55">
        <f t="shared" si="4"/>
      </c>
      <c r="AO23" s="110"/>
      <c r="AQ23" s="100"/>
      <c r="AR23" s="55">
        <f t="shared" si="5"/>
      </c>
      <c r="AS23" s="98"/>
      <c r="AT23" s="55">
        <f t="shared" si="6"/>
      </c>
      <c r="AU23" s="98"/>
      <c r="AV23" s="55">
        <f t="shared" si="7"/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68">
        <v>963</v>
      </c>
      <c r="BR23" s="268">
        <v>1605</v>
      </c>
      <c r="BS23" s="155" t="s">
        <v>126</v>
      </c>
      <c r="BT23" s="26"/>
      <c r="BU23" s="268">
        <v>30</v>
      </c>
      <c r="BV23" s="269">
        <v>45</v>
      </c>
      <c r="BW23" s="268">
        <v>50</v>
      </c>
      <c r="BX23" s="155" t="s">
        <v>128</v>
      </c>
      <c r="BY23" s="26"/>
      <c r="BZ23" s="270" t="s">
        <v>150</v>
      </c>
      <c r="CA23" s="271" t="s">
        <v>47</v>
      </c>
      <c r="CB23" s="155">
        <v>24</v>
      </c>
      <c r="CC23" s="137"/>
      <c r="CE23" s="69"/>
      <c r="CF23" s="72" t="s">
        <v>53</v>
      </c>
      <c r="CG23" s="186">
        <f>(IF(((SUM(CG12:CG20))=0)," ",(MAX(CG12:CG20))))</f>
        <v>15.666666666666666</v>
      </c>
      <c r="CH23" s="186">
        <f>(IF(((SUM(CH12:CH20))=0)," ",(MAX(CH12:CH20))))</f>
        <v>289.3563</v>
      </c>
      <c r="CI23" s="186"/>
      <c r="CJ23" s="186">
        <f>(IF(((SUM(CJ12:CJ20))=0)," ",(MAX(CJ12:CJ20))))</f>
        <v>20.333333333333332</v>
      </c>
      <c r="CK23" s="186">
        <f>(IF(((SUM(CK12:CK20))=0)," ",(MAX(CK12:CK20))))</f>
        <v>378.22178</v>
      </c>
      <c r="CL23" s="71"/>
      <c r="CM23" s="60">
        <f>(MAX(CM12:CM20))</f>
        <v>0.004285714285714286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5">
        <v>1997821</v>
      </c>
      <c r="D24" s="138">
        <f t="shared" si="0"/>
        <v>2.005</v>
      </c>
      <c r="E24" s="140">
        <v>3.5</v>
      </c>
      <c r="F24" s="141">
        <v>0.6</v>
      </c>
      <c r="G24" s="81" t="str">
        <f t="shared" si="8"/>
        <v>0.00</v>
      </c>
      <c r="H24" s="85">
        <v>0</v>
      </c>
      <c r="I24" s="86">
        <v>0</v>
      </c>
      <c r="K24" s="87" t="s">
        <v>210</v>
      </c>
      <c r="L24" s="85">
        <v>69</v>
      </c>
      <c r="M24" s="88">
        <v>0.01</v>
      </c>
      <c r="O24" s="107"/>
      <c r="Q24" s="108">
        <v>21</v>
      </c>
      <c r="R24" s="153">
        <v>0.29</v>
      </c>
      <c r="S24" s="109"/>
      <c r="U24" s="93">
        <v>7.1</v>
      </c>
      <c r="V24" s="94">
        <v>6.9</v>
      </c>
      <c r="W24" s="95">
        <v>6.4</v>
      </c>
      <c r="Y24" s="90">
        <v>17</v>
      </c>
      <c r="Z24" s="96">
        <v>17</v>
      </c>
      <c r="AA24" s="92">
        <v>18</v>
      </c>
      <c r="AC24" s="93">
        <v>3</v>
      </c>
      <c r="AD24" s="91">
        <v>0.01</v>
      </c>
      <c r="AE24" s="97">
        <v>0</v>
      </c>
      <c r="AG24" s="45">
        <f t="shared" si="1"/>
        <v>13</v>
      </c>
      <c r="AI24" s="98"/>
      <c r="AJ24" s="55">
        <f t="shared" si="2"/>
      </c>
      <c r="AK24" s="98"/>
      <c r="AL24" s="55">
        <f t="shared" si="3"/>
      </c>
      <c r="AM24" s="98"/>
      <c r="AN24" s="55">
        <f t="shared" si="4"/>
      </c>
      <c r="AO24" s="110"/>
      <c r="AQ24" s="100"/>
      <c r="AR24" s="55">
        <f t="shared" si="5"/>
      </c>
      <c r="AS24" s="98"/>
      <c r="AT24" s="55">
        <f t="shared" si="6"/>
      </c>
      <c r="AU24" s="98"/>
      <c r="AV24" s="55">
        <f t="shared" si="7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5">
        <v>1999827</v>
      </c>
      <c r="D25" s="138">
        <f t="shared" si="0"/>
        <v>2.006</v>
      </c>
      <c r="E25" s="140">
        <v>4.4</v>
      </c>
      <c r="F25" s="141">
        <v>0.6</v>
      </c>
      <c r="G25" s="81" t="str">
        <f t="shared" si="8"/>
        <v>0.00</v>
      </c>
      <c r="H25" s="85">
        <v>2200</v>
      </c>
      <c r="I25" s="86">
        <v>10000</v>
      </c>
      <c r="K25" s="87" t="s">
        <v>210</v>
      </c>
      <c r="L25" s="85">
        <v>67</v>
      </c>
      <c r="M25" s="88">
        <v>0</v>
      </c>
      <c r="O25" s="107"/>
      <c r="Q25" s="108">
        <v>24</v>
      </c>
      <c r="R25" s="153">
        <v>0.41</v>
      </c>
      <c r="S25" s="109">
        <v>6</v>
      </c>
      <c r="U25" s="93">
        <v>7</v>
      </c>
      <c r="V25" s="94">
        <v>6.9</v>
      </c>
      <c r="W25" s="95">
        <v>6.4</v>
      </c>
      <c r="Y25" s="90">
        <v>17</v>
      </c>
      <c r="Z25" s="96">
        <v>17</v>
      </c>
      <c r="AA25" s="92">
        <v>18</v>
      </c>
      <c r="AC25" s="93">
        <v>13</v>
      </c>
      <c r="AD25" s="91">
        <v>0.01</v>
      </c>
      <c r="AE25" s="97">
        <v>0</v>
      </c>
      <c r="AG25" s="45">
        <f t="shared" si="1"/>
        <v>14</v>
      </c>
      <c r="AI25" s="98"/>
      <c r="AJ25" s="55">
        <f t="shared" si="2"/>
      </c>
      <c r="AK25" s="98"/>
      <c r="AL25" s="55">
        <f t="shared" si="3"/>
      </c>
      <c r="AM25" s="98"/>
      <c r="AN25" s="55">
        <f t="shared" si="4"/>
      </c>
      <c r="AO25" s="110"/>
      <c r="AQ25" s="100"/>
      <c r="AR25" s="55">
        <f t="shared" si="5"/>
      </c>
      <c r="AS25" s="98"/>
      <c r="AT25" s="55">
        <f t="shared" si="6"/>
      </c>
      <c r="AU25" s="98"/>
      <c r="AV25" s="55">
        <f t="shared" si="7"/>
      </c>
      <c r="AX25" s="100">
        <v>58282</v>
      </c>
      <c r="AY25" s="101">
        <v>3</v>
      </c>
      <c r="AZ25" s="102">
        <v>3.75</v>
      </c>
      <c r="BA25" s="98">
        <v>34</v>
      </c>
      <c r="BB25" s="102">
        <v>26</v>
      </c>
      <c r="BC25" s="98">
        <v>24</v>
      </c>
      <c r="BD25" s="98"/>
      <c r="BE25" s="103"/>
      <c r="BG25" s="100">
        <v>24</v>
      </c>
      <c r="BH25" s="84" t="s">
        <v>212</v>
      </c>
      <c r="BI25" s="104" t="s">
        <v>211</v>
      </c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3">
        <v>2002212</v>
      </c>
      <c r="D26" s="139">
        <f t="shared" si="0"/>
        <v>2.385</v>
      </c>
      <c r="E26" s="142">
        <v>3.6</v>
      </c>
      <c r="F26" s="143">
        <v>0.6</v>
      </c>
      <c r="G26" s="184" t="str">
        <f t="shared" si="8"/>
        <v>0.00</v>
      </c>
      <c r="H26" s="113">
        <v>2750</v>
      </c>
      <c r="I26" s="114">
        <v>7500</v>
      </c>
      <c r="K26" s="115" t="s">
        <v>210</v>
      </c>
      <c r="L26" s="113">
        <v>66</v>
      </c>
      <c r="M26" s="116">
        <v>0</v>
      </c>
      <c r="O26" s="117"/>
      <c r="Q26" s="257">
        <v>20</v>
      </c>
      <c r="R26" s="258">
        <v>0.31</v>
      </c>
      <c r="S26" s="263">
        <v>20</v>
      </c>
      <c r="U26" s="118">
        <v>7</v>
      </c>
      <c r="V26" s="119">
        <v>6.9</v>
      </c>
      <c r="W26" s="120">
        <v>6.5</v>
      </c>
      <c r="Y26" s="121">
        <v>17</v>
      </c>
      <c r="Z26" s="122">
        <v>17</v>
      </c>
      <c r="AA26" s="123">
        <v>19</v>
      </c>
      <c r="AC26" s="118">
        <v>10</v>
      </c>
      <c r="AD26" s="124">
        <v>0.01</v>
      </c>
      <c r="AE26" s="125">
        <v>0</v>
      </c>
      <c r="AG26" s="45">
        <f t="shared" si="1"/>
        <v>15</v>
      </c>
      <c r="AI26" s="126"/>
      <c r="AJ26" s="65">
        <f t="shared" si="2"/>
      </c>
      <c r="AK26" s="126"/>
      <c r="AL26" s="65">
        <f t="shared" si="3"/>
      </c>
      <c r="AM26" s="126"/>
      <c r="AN26" s="65">
        <f t="shared" si="4"/>
      </c>
      <c r="AO26" s="127"/>
      <c r="AQ26" s="128"/>
      <c r="AR26" s="65">
        <f t="shared" si="5"/>
      </c>
      <c r="AS26" s="126"/>
      <c r="AT26" s="65">
        <f t="shared" si="6"/>
      </c>
      <c r="AU26" s="126"/>
      <c r="AV26" s="65">
        <f t="shared" si="7"/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5">
        <v>2004298</v>
      </c>
      <c r="D27" s="138">
        <f t="shared" si="0"/>
        <v>2.086</v>
      </c>
      <c r="E27" s="140">
        <v>4</v>
      </c>
      <c r="F27" s="141">
        <v>0.6</v>
      </c>
      <c r="G27" s="81" t="str">
        <f t="shared" si="8"/>
        <v>0.00</v>
      </c>
      <c r="H27" s="85">
        <v>0</v>
      </c>
      <c r="I27" s="86">
        <v>5000</v>
      </c>
      <c r="K27" s="87" t="s">
        <v>208</v>
      </c>
      <c r="L27" s="85">
        <v>63</v>
      </c>
      <c r="M27" s="88">
        <v>0.54</v>
      </c>
      <c r="O27" s="107"/>
      <c r="Q27" s="108">
        <v>17</v>
      </c>
      <c r="R27" s="153">
        <v>0.21</v>
      </c>
      <c r="S27" s="109">
        <v>4</v>
      </c>
      <c r="U27" s="93">
        <v>7.1</v>
      </c>
      <c r="V27" s="94">
        <v>6.9</v>
      </c>
      <c r="W27" s="95">
        <v>6.5</v>
      </c>
      <c r="Y27" s="90">
        <v>17</v>
      </c>
      <c r="Z27" s="96">
        <v>17</v>
      </c>
      <c r="AA27" s="92">
        <v>19</v>
      </c>
      <c r="AC27" s="93">
        <v>6</v>
      </c>
      <c r="AD27" s="91">
        <v>0.01</v>
      </c>
      <c r="AE27" s="97">
        <v>0</v>
      </c>
      <c r="AG27" s="45">
        <f t="shared" si="1"/>
        <v>16</v>
      </c>
      <c r="AI27" s="98">
        <v>263</v>
      </c>
      <c r="AJ27" s="55">
        <f t="shared" si="2"/>
        <v>4575.47412</v>
      </c>
      <c r="AK27" s="98"/>
      <c r="AL27" s="55">
        <f t="shared" si="3"/>
      </c>
      <c r="AM27" s="98">
        <v>8</v>
      </c>
      <c r="AN27" s="55">
        <f t="shared" si="4"/>
        <v>139.17792</v>
      </c>
      <c r="AO27" s="110">
        <v>7</v>
      </c>
      <c r="AQ27" s="100">
        <v>292</v>
      </c>
      <c r="AR27" s="55">
        <f t="shared" si="5"/>
        <v>5079.9940799999995</v>
      </c>
      <c r="AS27" s="98"/>
      <c r="AT27" s="55">
        <f t="shared" si="6"/>
      </c>
      <c r="AU27" s="98">
        <v>22</v>
      </c>
      <c r="AV27" s="55">
        <f t="shared" si="7"/>
        <v>382.73927999999995</v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5">
        <v>2006544</v>
      </c>
      <c r="D28" s="138">
        <f t="shared" si="0"/>
        <v>2.246</v>
      </c>
      <c r="E28" s="140">
        <v>3.8</v>
      </c>
      <c r="F28" s="141">
        <v>0.6</v>
      </c>
      <c r="G28" s="81" t="str">
        <f t="shared" si="8"/>
        <v>0.00</v>
      </c>
      <c r="H28" s="85">
        <v>2300</v>
      </c>
      <c r="I28" s="86">
        <v>7000</v>
      </c>
      <c r="K28" s="87" t="s">
        <v>208</v>
      </c>
      <c r="L28" s="85">
        <v>69</v>
      </c>
      <c r="M28" s="88">
        <v>0</v>
      </c>
      <c r="O28" s="107"/>
      <c r="Q28" s="108">
        <v>18</v>
      </c>
      <c r="R28" s="153">
        <v>0.29</v>
      </c>
      <c r="S28" s="109"/>
      <c r="U28" s="93">
        <v>7.2</v>
      </c>
      <c r="V28" s="94">
        <v>7.1</v>
      </c>
      <c r="W28" s="95">
        <v>6.4</v>
      </c>
      <c r="Y28" s="90">
        <v>17</v>
      </c>
      <c r="Z28" s="96">
        <v>17</v>
      </c>
      <c r="AA28" s="92">
        <v>18</v>
      </c>
      <c r="AC28" s="93">
        <v>7.5</v>
      </c>
      <c r="AD28" s="91">
        <v>0.01</v>
      </c>
      <c r="AE28" s="97">
        <v>0</v>
      </c>
      <c r="AG28" s="45">
        <f t="shared" si="1"/>
        <v>17</v>
      </c>
      <c r="AH28" s="265" t="s">
        <v>219</v>
      </c>
      <c r="AI28" s="98">
        <v>293</v>
      </c>
      <c r="AJ28" s="55">
        <f t="shared" si="2"/>
        <v>5488.3705199999995</v>
      </c>
      <c r="AK28" s="98"/>
      <c r="AL28" s="55">
        <f t="shared" si="3"/>
      </c>
      <c r="AM28" s="98">
        <v>10</v>
      </c>
      <c r="AN28" s="55">
        <f t="shared" si="4"/>
        <v>187.31640000000002</v>
      </c>
      <c r="AO28" s="110"/>
      <c r="AQ28" s="100">
        <v>326</v>
      </c>
      <c r="AR28" s="55">
        <f t="shared" si="5"/>
        <v>6106.51464</v>
      </c>
      <c r="AS28" s="98"/>
      <c r="AT28" s="55">
        <f t="shared" si="6"/>
      </c>
      <c r="AU28" s="98">
        <v>23</v>
      </c>
      <c r="AV28" s="55">
        <f t="shared" si="7"/>
        <v>430.82772</v>
      </c>
      <c r="AX28" s="100">
        <v>56444</v>
      </c>
      <c r="AY28" s="101">
        <v>3</v>
      </c>
      <c r="AZ28" s="102">
        <v>3.75</v>
      </c>
      <c r="BA28" s="98">
        <v>37</v>
      </c>
      <c r="BB28" s="102">
        <v>27</v>
      </c>
      <c r="BC28" s="98">
        <v>24</v>
      </c>
      <c r="BD28" s="98"/>
      <c r="BE28" s="103"/>
      <c r="BG28" s="100">
        <v>24</v>
      </c>
      <c r="BH28" s="84" t="s">
        <v>212</v>
      </c>
      <c r="BI28" s="104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72" t="s">
        <v>150</v>
      </c>
      <c r="BR28" s="272" t="s">
        <v>150</v>
      </c>
      <c r="BS28" s="272" t="s">
        <v>150</v>
      </c>
      <c r="BT28" s="272"/>
      <c r="BU28" s="272" t="s">
        <v>150</v>
      </c>
      <c r="BV28" s="71">
        <f>(CM23)</f>
        <v>0.004285714285714286</v>
      </c>
      <c r="BW28" s="71">
        <f>MAX(AE12:AE42)</f>
        <v>0.01</v>
      </c>
      <c r="BX28" s="26" t="s">
        <v>128</v>
      </c>
      <c r="BY28" s="26"/>
      <c r="BZ28" s="26">
        <v>0</v>
      </c>
      <c r="CA28" s="267" t="s">
        <v>48</v>
      </c>
      <c r="CB28" s="26" t="s">
        <v>23</v>
      </c>
      <c r="CC28" s="137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5">
        <v>2008619</v>
      </c>
      <c r="D29" s="138">
        <f t="shared" si="0"/>
        <v>2.075</v>
      </c>
      <c r="E29" s="140">
        <v>3.6</v>
      </c>
      <c r="F29" s="141">
        <v>0.6</v>
      </c>
      <c r="G29" s="81" t="str">
        <f t="shared" si="8"/>
        <v>0.00</v>
      </c>
      <c r="H29" s="85">
        <v>3000</v>
      </c>
      <c r="I29" s="86">
        <v>4500</v>
      </c>
      <c r="K29" s="87" t="s">
        <v>210</v>
      </c>
      <c r="L29" s="85">
        <v>69</v>
      </c>
      <c r="M29" s="88">
        <v>0</v>
      </c>
      <c r="O29" s="107"/>
      <c r="Q29" s="108">
        <v>19</v>
      </c>
      <c r="R29" s="153">
        <v>0.31</v>
      </c>
      <c r="S29" s="109"/>
      <c r="U29" s="93">
        <v>7</v>
      </c>
      <c r="V29" s="94">
        <v>6.9</v>
      </c>
      <c r="W29" s="95">
        <v>6.5</v>
      </c>
      <c r="Y29" s="90">
        <v>17</v>
      </c>
      <c r="Z29" s="96">
        <v>17</v>
      </c>
      <c r="AA29" s="92">
        <v>18</v>
      </c>
      <c r="AC29" s="93">
        <v>3</v>
      </c>
      <c r="AD29" s="91">
        <v>0.1</v>
      </c>
      <c r="AE29" s="97">
        <v>0.01</v>
      </c>
      <c r="AG29" s="45">
        <f t="shared" si="1"/>
        <v>18</v>
      </c>
      <c r="AH29" s="265" t="s">
        <v>219</v>
      </c>
      <c r="AI29" s="98">
        <v>282</v>
      </c>
      <c r="AJ29" s="55">
        <f t="shared" si="2"/>
        <v>4880.151000000001</v>
      </c>
      <c r="AK29" s="98">
        <v>170</v>
      </c>
      <c r="AL29" s="55">
        <f t="shared" si="3"/>
        <v>2941.9350000000004</v>
      </c>
      <c r="AM29" s="98">
        <v>9</v>
      </c>
      <c r="AN29" s="55">
        <f t="shared" si="4"/>
        <v>155.7495</v>
      </c>
      <c r="AO29" s="110"/>
      <c r="AQ29" s="100">
        <v>284</v>
      </c>
      <c r="AR29" s="55">
        <f t="shared" si="5"/>
        <v>4914.762000000001</v>
      </c>
      <c r="AS29" s="98">
        <v>96</v>
      </c>
      <c r="AT29" s="55">
        <f t="shared" si="6"/>
        <v>1661.3280000000002</v>
      </c>
      <c r="AU29" s="98">
        <v>15</v>
      </c>
      <c r="AV29" s="55">
        <f t="shared" si="7"/>
        <v>259.58250000000004</v>
      </c>
      <c r="AX29" s="100"/>
      <c r="AY29" s="101"/>
      <c r="AZ29" s="102"/>
      <c r="BA29" s="98"/>
      <c r="BB29" s="102"/>
      <c r="BC29" s="98"/>
      <c r="BD29" s="98"/>
      <c r="BE29" s="103"/>
      <c r="BG29" s="100"/>
      <c r="BH29" s="84"/>
      <c r="BI29" s="104"/>
      <c r="BK29" s="17"/>
      <c r="BL29" s="19"/>
      <c r="BM29" s="26" t="s">
        <v>86</v>
      </c>
      <c r="BN29" s="20"/>
      <c r="BO29" s="154" t="s">
        <v>131</v>
      </c>
      <c r="BP29" s="26"/>
      <c r="BQ29" s="270" t="s">
        <v>150</v>
      </c>
      <c r="BR29" s="270" t="s">
        <v>150</v>
      </c>
      <c r="BS29" s="270" t="s">
        <v>150</v>
      </c>
      <c r="BT29" s="272"/>
      <c r="BU29" s="270" t="s">
        <v>150</v>
      </c>
      <c r="BV29" s="155" t="s">
        <v>146</v>
      </c>
      <c r="BW29" s="155">
        <v>0.3</v>
      </c>
      <c r="BX29" s="155" t="s">
        <v>128</v>
      </c>
      <c r="BY29" s="26"/>
      <c r="BZ29" s="270" t="s">
        <v>150</v>
      </c>
      <c r="CA29" s="271" t="s">
        <v>48</v>
      </c>
      <c r="CB29" s="155" t="s">
        <v>23</v>
      </c>
      <c r="CC29" s="137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5">
        <v>2010682</v>
      </c>
      <c r="D30" s="138">
        <f t="shared" si="0"/>
        <v>2.063</v>
      </c>
      <c r="E30" s="140">
        <v>3.6</v>
      </c>
      <c r="F30" s="141">
        <v>0.6</v>
      </c>
      <c r="G30" s="81" t="str">
        <f t="shared" si="8"/>
        <v>0.00</v>
      </c>
      <c r="H30" s="85">
        <v>1100</v>
      </c>
      <c r="I30" s="86">
        <v>4000</v>
      </c>
      <c r="K30" s="87" t="s">
        <v>210</v>
      </c>
      <c r="L30" s="85">
        <v>68</v>
      </c>
      <c r="M30" s="88">
        <v>0.01</v>
      </c>
      <c r="O30" s="107"/>
      <c r="Q30" s="108">
        <v>21</v>
      </c>
      <c r="R30" s="153">
        <v>0.25</v>
      </c>
      <c r="S30" s="109"/>
      <c r="U30" s="93">
        <v>7</v>
      </c>
      <c r="V30" s="94">
        <v>6.9</v>
      </c>
      <c r="W30" s="95">
        <v>6.4</v>
      </c>
      <c r="Y30" s="90">
        <v>16</v>
      </c>
      <c r="Z30" s="96">
        <v>17</v>
      </c>
      <c r="AA30" s="92">
        <v>18</v>
      </c>
      <c r="AC30" s="93">
        <v>5</v>
      </c>
      <c r="AD30" s="91">
        <v>0.01</v>
      </c>
      <c r="AE30" s="97">
        <v>0.01</v>
      </c>
      <c r="AG30" s="45">
        <f t="shared" si="1"/>
        <v>19</v>
      </c>
      <c r="AI30" s="98"/>
      <c r="AJ30" s="55">
        <f t="shared" si="2"/>
      </c>
      <c r="AK30" s="98"/>
      <c r="AL30" s="55">
        <f t="shared" si="3"/>
      </c>
      <c r="AM30" s="98"/>
      <c r="AN30" s="55">
        <f t="shared" si="4"/>
      </c>
      <c r="AO30" s="110"/>
      <c r="AQ30" s="100"/>
      <c r="AR30" s="55">
        <f t="shared" si="5"/>
      </c>
      <c r="AS30" s="98"/>
      <c r="AT30" s="55">
        <f t="shared" si="6"/>
      </c>
      <c r="AU30" s="98"/>
      <c r="AV30" s="55">
        <f t="shared" si="7"/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3">
        <v>2012593</v>
      </c>
      <c r="D31" s="139">
        <f t="shared" si="0"/>
        <v>1.911</v>
      </c>
      <c r="E31" s="142">
        <v>3.6</v>
      </c>
      <c r="F31" s="143">
        <v>0.6</v>
      </c>
      <c r="G31" s="184" t="str">
        <f t="shared" si="8"/>
        <v>0.00</v>
      </c>
      <c r="H31" s="113">
        <v>0</v>
      </c>
      <c r="I31" s="114">
        <v>0</v>
      </c>
      <c r="K31" s="115" t="s">
        <v>208</v>
      </c>
      <c r="L31" s="113">
        <v>67</v>
      </c>
      <c r="M31" s="116">
        <v>0</v>
      </c>
      <c r="O31" s="117"/>
      <c r="Q31" s="257">
        <v>18</v>
      </c>
      <c r="R31" s="258">
        <v>0.29</v>
      </c>
      <c r="S31" s="263"/>
      <c r="U31" s="118">
        <v>7</v>
      </c>
      <c r="V31" s="119">
        <v>6.9</v>
      </c>
      <c r="W31" s="120">
        <v>6.5</v>
      </c>
      <c r="Y31" s="121">
        <v>16</v>
      </c>
      <c r="Z31" s="122">
        <v>17</v>
      </c>
      <c r="AA31" s="123">
        <v>18</v>
      </c>
      <c r="AC31" s="118">
        <v>5.5</v>
      </c>
      <c r="AD31" s="124">
        <v>0.01</v>
      </c>
      <c r="AE31" s="125">
        <v>0</v>
      </c>
      <c r="AG31" s="45">
        <f t="shared" si="1"/>
        <v>20</v>
      </c>
      <c r="AI31" s="126"/>
      <c r="AJ31" s="65">
        <f t="shared" si="2"/>
      </c>
      <c r="AK31" s="126"/>
      <c r="AL31" s="65">
        <f t="shared" si="3"/>
      </c>
      <c r="AM31" s="126"/>
      <c r="AN31" s="65">
        <f t="shared" si="4"/>
      </c>
      <c r="AO31" s="127"/>
      <c r="AQ31" s="128"/>
      <c r="AR31" s="65">
        <f t="shared" si="5"/>
      </c>
      <c r="AS31" s="126"/>
      <c r="AT31" s="65">
        <f t="shared" si="6"/>
      </c>
      <c r="AU31" s="126"/>
      <c r="AV31" s="65">
        <f t="shared" si="7"/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5">
        <v>2014502</v>
      </c>
      <c r="D32" s="138">
        <f t="shared" si="0"/>
        <v>1.909</v>
      </c>
      <c r="E32" s="140">
        <v>3.4</v>
      </c>
      <c r="F32" s="141">
        <v>0.6</v>
      </c>
      <c r="G32" s="81" t="str">
        <f t="shared" si="8"/>
        <v>0.00</v>
      </c>
      <c r="H32" s="85">
        <v>2700</v>
      </c>
      <c r="I32" s="86">
        <v>4500</v>
      </c>
      <c r="K32" s="87" t="s">
        <v>208</v>
      </c>
      <c r="L32" s="85">
        <v>69</v>
      </c>
      <c r="M32" s="88">
        <v>0</v>
      </c>
      <c r="O32" s="107"/>
      <c r="Q32" s="108">
        <v>19</v>
      </c>
      <c r="R32" s="153">
        <v>0.21</v>
      </c>
      <c r="S32" s="109">
        <v>26</v>
      </c>
      <c r="U32" s="93">
        <v>7.4</v>
      </c>
      <c r="V32" s="94">
        <v>6.5</v>
      </c>
      <c r="W32" s="95">
        <v>6.5</v>
      </c>
      <c r="Y32" s="90">
        <v>18</v>
      </c>
      <c r="Z32" s="96">
        <v>18</v>
      </c>
      <c r="AA32" s="92">
        <v>19</v>
      </c>
      <c r="AC32" s="93">
        <v>13</v>
      </c>
      <c r="AD32" s="91">
        <v>0.7</v>
      </c>
      <c r="AE32" s="97">
        <v>0</v>
      </c>
      <c r="AG32" s="45">
        <f t="shared" si="1"/>
        <v>21</v>
      </c>
      <c r="AI32" s="98"/>
      <c r="AJ32" s="55">
        <f t="shared" si="2"/>
      </c>
      <c r="AK32" s="98"/>
      <c r="AL32" s="55">
        <f t="shared" si="3"/>
      </c>
      <c r="AM32" s="98"/>
      <c r="AN32" s="55">
        <f t="shared" si="4"/>
      </c>
      <c r="AO32" s="110"/>
      <c r="AQ32" s="100"/>
      <c r="AR32" s="55">
        <f t="shared" si="5"/>
      </c>
      <c r="AS32" s="98"/>
      <c r="AT32" s="55">
        <f t="shared" si="6"/>
      </c>
      <c r="AU32" s="98"/>
      <c r="AV32" s="55">
        <f t="shared" si="7"/>
      </c>
      <c r="AX32" s="100">
        <v>54929</v>
      </c>
      <c r="AY32" s="101">
        <v>3</v>
      </c>
      <c r="AZ32" s="102">
        <v>3.25</v>
      </c>
      <c r="BA32" s="98">
        <v>34</v>
      </c>
      <c r="BB32" s="102">
        <v>33</v>
      </c>
      <c r="BC32" s="98">
        <v>24</v>
      </c>
      <c r="BD32" s="98">
        <v>1853</v>
      </c>
      <c r="BE32" s="103">
        <v>12.22</v>
      </c>
      <c r="BG32" s="100">
        <v>24</v>
      </c>
      <c r="BH32" s="84" t="s">
        <v>224</v>
      </c>
      <c r="BI32" s="104" t="s">
        <v>225</v>
      </c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5">
        <v>2016552</v>
      </c>
      <c r="D33" s="138">
        <f t="shared" si="0"/>
        <v>2.05</v>
      </c>
      <c r="E33" s="140">
        <v>4.2</v>
      </c>
      <c r="F33" s="141">
        <v>0.6</v>
      </c>
      <c r="G33" s="81" t="str">
        <f t="shared" si="8"/>
        <v>0.00</v>
      </c>
      <c r="H33" s="85">
        <v>3300</v>
      </c>
      <c r="I33" s="86">
        <v>5000</v>
      </c>
      <c r="K33" s="87" t="s">
        <v>208</v>
      </c>
      <c r="L33" s="85">
        <v>70</v>
      </c>
      <c r="M33" s="88">
        <v>0.05</v>
      </c>
      <c r="O33" s="107"/>
      <c r="Q33" s="108">
        <v>21</v>
      </c>
      <c r="R33" s="153">
        <v>0.23</v>
      </c>
      <c r="S33" s="109">
        <v>9</v>
      </c>
      <c r="U33" s="93">
        <v>7.2</v>
      </c>
      <c r="V33" s="94">
        <v>7.1</v>
      </c>
      <c r="W33" s="95">
        <v>6.8</v>
      </c>
      <c r="Y33" s="90">
        <v>18</v>
      </c>
      <c r="Z33" s="96">
        <v>17</v>
      </c>
      <c r="AA33" s="92">
        <v>19</v>
      </c>
      <c r="AC33" s="93">
        <v>9.5</v>
      </c>
      <c r="AD33" s="91">
        <v>0.1</v>
      </c>
      <c r="AE33" s="97">
        <v>0</v>
      </c>
      <c r="AG33" s="45">
        <f t="shared" si="1"/>
        <v>22</v>
      </c>
      <c r="AI33" s="98"/>
      <c r="AJ33" s="55">
        <f t="shared" si="2"/>
      </c>
      <c r="AK33" s="98"/>
      <c r="AL33" s="55">
        <f t="shared" si="3"/>
      </c>
      <c r="AM33" s="98"/>
      <c r="AN33" s="55">
        <f t="shared" si="4"/>
      </c>
      <c r="AO33" s="110"/>
      <c r="AQ33" s="100"/>
      <c r="AR33" s="55">
        <f t="shared" si="5"/>
      </c>
      <c r="AS33" s="98"/>
      <c r="AT33" s="55">
        <f t="shared" si="6"/>
      </c>
      <c r="AU33" s="98"/>
      <c r="AV33" s="55">
        <f t="shared" si="7"/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274">
        <f>(D47)</f>
        <v>2.1106451612903228</v>
      </c>
      <c r="BR33" s="274">
        <f>(D45)</f>
        <v>2.385</v>
      </c>
      <c r="BS33" s="26" t="s">
        <v>127</v>
      </c>
      <c r="BT33" s="26"/>
      <c r="BU33" s="272" t="s">
        <v>150</v>
      </c>
      <c r="BV33" s="272" t="s">
        <v>150</v>
      </c>
      <c r="BW33" s="272" t="s">
        <v>150</v>
      </c>
      <c r="BX33" s="272" t="s">
        <v>150</v>
      </c>
      <c r="BY33" s="26"/>
      <c r="BZ33" s="26">
        <v>0</v>
      </c>
      <c r="CA33" s="75" t="s">
        <v>24</v>
      </c>
      <c r="CB33" s="26" t="s">
        <v>25</v>
      </c>
      <c r="CC33" s="137"/>
      <c r="CJ33" s="326" t="s">
        <v>17</v>
      </c>
      <c r="CK33" s="328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5">
        <v>2018785</v>
      </c>
      <c r="D34" s="138">
        <f t="shared" si="0"/>
        <v>2.233</v>
      </c>
      <c r="E34" s="140">
        <v>4.2</v>
      </c>
      <c r="F34" s="141">
        <v>0.6</v>
      </c>
      <c r="G34" s="81" t="str">
        <f t="shared" si="8"/>
        <v>0.00</v>
      </c>
      <c r="H34" s="85">
        <v>2000</v>
      </c>
      <c r="I34" s="86">
        <v>9000</v>
      </c>
      <c r="K34" s="87" t="s">
        <v>208</v>
      </c>
      <c r="L34" s="85">
        <v>69</v>
      </c>
      <c r="M34" s="88">
        <v>0.14</v>
      </c>
      <c r="O34" s="107"/>
      <c r="Q34" s="108">
        <v>20</v>
      </c>
      <c r="R34" s="153">
        <v>0.32</v>
      </c>
      <c r="S34" s="109"/>
      <c r="U34" s="93">
        <v>7</v>
      </c>
      <c r="V34" s="94">
        <v>7</v>
      </c>
      <c r="W34" s="95">
        <v>6.5</v>
      </c>
      <c r="Y34" s="90">
        <v>17</v>
      </c>
      <c r="Z34" s="96">
        <v>18</v>
      </c>
      <c r="AA34" s="92">
        <v>19</v>
      </c>
      <c r="AC34" s="93">
        <v>7</v>
      </c>
      <c r="AD34" s="91">
        <v>0.01</v>
      </c>
      <c r="AE34" s="97">
        <v>0</v>
      </c>
      <c r="AG34" s="45">
        <f t="shared" si="1"/>
        <v>23</v>
      </c>
      <c r="AH34" s="265" t="s">
        <v>219</v>
      </c>
      <c r="AI34" s="98">
        <v>251</v>
      </c>
      <c r="AJ34" s="55">
        <f t="shared" si="2"/>
        <v>4674.428220000001</v>
      </c>
      <c r="AK34" s="98"/>
      <c r="AL34" s="55">
        <f t="shared" si="3"/>
      </c>
      <c r="AM34" s="98">
        <v>9</v>
      </c>
      <c r="AN34" s="55">
        <f t="shared" si="4"/>
        <v>167.60898</v>
      </c>
      <c r="AO34" s="110"/>
      <c r="AQ34" s="100">
        <v>234</v>
      </c>
      <c r="AR34" s="55">
        <f t="shared" si="5"/>
        <v>4357.83348</v>
      </c>
      <c r="AS34" s="98"/>
      <c r="AT34" s="55">
        <f t="shared" si="6"/>
      </c>
      <c r="AU34" s="98">
        <v>16</v>
      </c>
      <c r="AV34" s="55">
        <f t="shared" si="7"/>
        <v>297.97152</v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275">
        <v>3.85</v>
      </c>
      <c r="BR34" s="155" t="s">
        <v>146</v>
      </c>
      <c r="BS34" s="155" t="s">
        <v>127</v>
      </c>
      <c r="BT34" s="26"/>
      <c r="BU34" s="270" t="s">
        <v>150</v>
      </c>
      <c r="BV34" s="270" t="s">
        <v>150</v>
      </c>
      <c r="BW34" s="270" t="s">
        <v>150</v>
      </c>
      <c r="BX34" s="270" t="s">
        <v>150</v>
      </c>
      <c r="BY34" s="26"/>
      <c r="BZ34" s="270" t="s">
        <v>150</v>
      </c>
      <c r="CA34" s="276" t="s">
        <v>24</v>
      </c>
      <c r="CB34" s="155" t="s">
        <v>25</v>
      </c>
      <c r="CC34" s="137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5">
        <v>2021067</v>
      </c>
      <c r="D35" s="138">
        <f t="shared" si="0"/>
        <v>2.282</v>
      </c>
      <c r="E35" s="140">
        <v>4.4</v>
      </c>
      <c r="F35" s="141">
        <v>0.6</v>
      </c>
      <c r="G35" s="81" t="str">
        <f t="shared" si="8"/>
        <v>0.00</v>
      </c>
      <c r="H35" s="85">
        <v>1500</v>
      </c>
      <c r="I35" s="86">
        <v>9500</v>
      </c>
      <c r="K35" s="87" t="s">
        <v>208</v>
      </c>
      <c r="L35" s="85">
        <v>69</v>
      </c>
      <c r="M35" s="88">
        <v>0</v>
      </c>
      <c r="O35" s="107"/>
      <c r="Q35" s="108">
        <v>20</v>
      </c>
      <c r="R35" s="153">
        <v>0.34</v>
      </c>
      <c r="S35" s="109">
        <v>27</v>
      </c>
      <c r="U35" s="93">
        <v>7.3</v>
      </c>
      <c r="V35" s="94">
        <v>7.1</v>
      </c>
      <c r="W35" s="95">
        <v>6.6</v>
      </c>
      <c r="Y35" s="90">
        <v>18</v>
      </c>
      <c r="Z35" s="96">
        <v>18</v>
      </c>
      <c r="AA35" s="92">
        <v>19</v>
      </c>
      <c r="AC35" s="93">
        <v>6.5</v>
      </c>
      <c r="AD35" s="91">
        <v>0.01</v>
      </c>
      <c r="AE35" s="97">
        <v>0</v>
      </c>
      <c r="AG35" s="45">
        <f t="shared" si="1"/>
        <v>24</v>
      </c>
      <c r="AI35" s="98">
        <v>223</v>
      </c>
      <c r="AJ35" s="55">
        <f t="shared" si="2"/>
        <v>4244.10924</v>
      </c>
      <c r="AK35" s="98"/>
      <c r="AL35" s="55">
        <f t="shared" si="3"/>
      </c>
      <c r="AM35" s="98">
        <v>9</v>
      </c>
      <c r="AN35" s="55">
        <f t="shared" si="4"/>
        <v>171.28692</v>
      </c>
      <c r="AO35" s="110">
        <v>8</v>
      </c>
      <c r="AQ35" s="100">
        <v>276</v>
      </c>
      <c r="AR35" s="55">
        <f t="shared" si="5"/>
        <v>5252.79888</v>
      </c>
      <c r="AS35" s="98"/>
      <c r="AT35" s="55">
        <f t="shared" si="6"/>
      </c>
      <c r="AU35" s="98">
        <v>18</v>
      </c>
      <c r="AV35" s="55">
        <f t="shared" si="7"/>
        <v>342.57384</v>
      </c>
      <c r="AX35" s="100">
        <v>55717</v>
      </c>
      <c r="AY35" s="101">
        <v>3</v>
      </c>
      <c r="AZ35" s="102">
        <v>3.5</v>
      </c>
      <c r="BA35" s="98">
        <v>34</v>
      </c>
      <c r="BB35" s="102">
        <v>33</v>
      </c>
      <c r="BC35" s="98">
        <v>24</v>
      </c>
      <c r="BD35" s="98">
        <v>1890</v>
      </c>
      <c r="BE35" s="103">
        <v>12.2</v>
      </c>
      <c r="BG35" s="100">
        <v>24</v>
      </c>
      <c r="BH35" s="84" t="s">
        <v>224</v>
      </c>
      <c r="BI35" s="104" t="s">
        <v>225</v>
      </c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3">
        <v>2023082</v>
      </c>
      <c r="D36" s="139">
        <f t="shared" si="0"/>
        <v>2.015</v>
      </c>
      <c r="E36" s="142">
        <v>3.4</v>
      </c>
      <c r="F36" s="143">
        <v>0.6</v>
      </c>
      <c r="G36" s="184" t="str">
        <f t="shared" si="8"/>
        <v>0.00</v>
      </c>
      <c r="H36" s="113">
        <v>6500</v>
      </c>
      <c r="I36" s="114">
        <v>10000</v>
      </c>
      <c r="K36" s="115" t="s">
        <v>210</v>
      </c>
      <c r="L36" s="113">
        <v>71</v>
      </c>
      <c r="M36" s="116">
        <v>0</v>
      </c>
      <c r="O36" s="117"/>
      <c r="Q36" s="257">
        <v>20</v>
      </c>
      <c r="R36" s="258">
        <v>0.23</v>
      </c>
      <c r="S36" s="263"/>
      <c r="U36" s="118">
        <v>7.1</v>
      </c>
      <c r="V36" s="119">
        <v>7</v>
      </c>
      <c r="W36" s="120">
        <v>6.7</v>
      </c>
      <c r="Y36" s="121">
        <v>18</v>
      </c>
      <c r="Z36" s="122">
        <v>18</v>
      </c>
      <c r="AA36" s="123">
        <v>19</v>
      </c>
      <c r="AC36" s="118">
        <v>4</v>
      </c>
      <c r="AD36" s="124">
        <v>0.01</v>
      </c>
      <c r="AE36" s="125">
        <v>0</v>
      </c>
      <c r="AG36" s="45">
        <f t="shared" si="1"/>
        <v>25</v>
      </c>
      <c r="AI36" s="126">
        <v>286</v>
      </c>
      <c r="AJ36" s="65">
        <f t="shared" si="2"/>
        <v>4806.2586</v>
      </c>
      <c r="AK36" s="126">
        <v>181</v>
      </c>
      <c r="AL36" s="65">
        <f t="shared" si="3"/>
        <v>3041.7231</v>
      </c>
      <c r="AM36" s="126">
        <v>10</v>
      </c>
      <c r="AN36" s="65">
        <f t="shared" si="4"/>
        <v>168.05100000000002</v>
      </c>
      <c r="AO36" s="127">
        <v>8</v>
      </c>
      <c r="AQ36" s="128">
        <v>324</v>
      </c>
      <c r="AR36" s="65">
        <f t="shared" si="5"/>
        <v>5444.8524</v>
      </c>
      <c r="AS36" s="126">
        <v>120</v>
      </c>
      <c r="AT36" s="65">
        <f t="shared" si="6"/>
        <v>2016.612</v>
      </c>
      <c r="AU36" s="126">
        <v>18</v>
      </c>
      <c r="AV36" s="65">
        <f t="shared" si="7"/>
        <v>302.4918</v>
      </c>
      <c r="AX36" s="128"/>
      <c r="AY36" s="129"/>
      <c r="AZ36" s="130"/>
      <c r="BA36" s="126"/>
      <c r="BB36" s="130"/>
      <c r="BC36" s="126"/>
      <c r="BD36" s="126"/>
      <c r="BE36" s="131"/>
      <c r="BG36" s="128"/>
      <c r="BH36" s="111"/>
      <c r="BI36" s="132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5">
        <v>2025087</v>
      </c>
      <c r="D37" s="138">
        <f t="shared" si="0"/>
        <v>2.005</v>
      </c>
      <c r="E37" s="140">
        <v>3.4</v>
      </c>
      <c r="F37" s="141">
        <v>0.6</v>
      </c>
      <c r="G37" s="81" t="str">
        <f t="shared" si="8"/>
        <v>0.00</v>
      </c>
      <c r="H37" s="85">
        <v>1000</v>
      </c>
      <c r="I37" s="86">
        <v>2000</v>
      </c>
      <c r="K37" s="87" t="s">
        <v>210</v>
      </c>
      <c r="L37" s="85">
        <v>72</v>
      </c>
      <c r="M37" s="88">
        <v>0</v>
      </c>
      <c r="O37" s="107"/>
      <c r="Q37" s="108">
        <v>20</v>
      </c>
      <c r="R37" s="153">
        <v>0.16</v>
      </c>
      <c r="S37" s="109"/>
      <c r="U37" s="93">
        <v>7</v>
      </c>
      <c r="V37" s="94">
        <v>6.9</v>
      </c>
      <c r="W37" s="95">
        <v>6.5</v>
      </c>
      <c r="Y37" s="90">
        <v>17</v>
      </c>
      <c r="Z37" s="96">
        <v>17</v>
      </c>
      <c r="AA37" s="92">
        <v>19</v>
      </c>
      <c r="AC37" s="93">
        <v>10</v>
      </c>
      <c r="AD37" s="91">
        <v>0.01</v>
      </c>
      <c r="AE37" s="97">
        <v>0</v>
      </c>
      <c r="AG37" s="45">
        <f t="shared" si="1"/>
        <v>26</v>
      </c>
      <c r="AI37" s="98"/>
      <c r="AJ37" s="55">
        <f t="shared" si="2"/>
      </c>
      <c r="AK37" s="98"/>
      <c r="AL37" s="55">
        <f t="shared" si="3"/>
      </c>
      <c r="AM37" s="98"/>
      <c r="AN37" s="55">
        <f t="shared" si="4"/>
      </c>
      <c r="AO37" s="110"/>
      <c r="AQ37" s="100"/>
      <c r="AR37" s="55">
        <f t="shared" si="5"/>
      </c>
      <c r="AS37" s="98"/>
      <c r="AT37" s="55">
        <f t="shared" si="6"/>
      </c>
      <c r="AU37" s="98"/>
      <c r="AV37" s="55">
        <f t="shared" si="7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6">
        <f>(IF(((SUM(AJ12:AJ42))=0)," ",(((AJ47-(D47*AO47*8.346))/AJ47)*100)))</f>
        <v>97.13869864274308</v>
      </c>
      <c r="CK37" s="3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5">
        <v>2026973</v>
      </c>
      <c r="D38" s="138">
        <f t="shared" si="0"/>
        <v>1.886</v>
      </c>
      <c r="E38" s="140">
        <v>3.4</v>
      </c>
      <c r="F38" s="141">
        <v>0.6</v>
      </c>
      <c r="G38" s="81" t="str">
        <f t="shared" si="8"/>
        <v>0.00</v>
      </c>
      <c r="H38" s="85">
        <v>0</v>
      </c>
      <c r="I38" s="86">
        <v>0</v>
      </c>
      <c r="K38" s="87" t="s">
        <v>208</v>
      </c>
      <c r="L38" s="85">
        <v>74</v>
      </c>
      <c r="M38" s="88">
        <v>0.07</v>
      </c>
      <c r="O38" s="107"/>
      <c r="Q38" s="108">
        <v>20</v>
      </c>
      <c r="R38" s="153">
        <v>0.29</v>
      </c>
      <c r="S38" s="109"/>
      <c r="U38" s="93">
        <v>7</v>
      </c>
      <c r="V38" s="94">
        <v>6.9</v>
      </c>
      <c r="W38" s="95">
        <v>6.6</v>
      </c>
      <c r="Y38" s="90">
        <v>17</v>
      </c>
      <c r="Z38" s="96">
        <v>18</v>
      </c>
      <c r="AA38" s="92">
        <v>19</v>
      </c>
      <c r="AC38" s="93">
        <v>3</v>
      </c>
      <c r="AD38" s="91">
        <v>0</v>
      </c>
      <c r="AE38" s="97">
        <v>0</v>
      </c>
      <c r="AG38" s="45">
        <f t="shared" si="1"/>
        <v>27</v>
      </c>
      <c r="AI38" s="98"/>
      <c r="AJ38" s="55">
        <f t="shared" si="2"/>
      </c>
      <c r="AK38" s="98"/>
      <c r="AL38" s="55">
        <f t="shared" si="3"/>
      </c>
      <c r="AM38" s="98"/>
      <c r="AN38" s="55">
        <f t="shared" si="4"/>
      </c>
      <c r="AO38" s="110"/>
      <c r="AQ38" s="100"/>
      <c r="AR38" s="55">
        <f t="shared" si="5"/>
      </c>
      <c r="AS38" s="98"/>
      <c r="AT38" s="55">
        <f t="shared" si="6"/>
      </c>
      <c r="AU38" s="98"/>
      <c r="AV38" s="55">
        <f t="shared" si="7"/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72" t="s">
        <v>150</v>
      </c>
      <c r="BR38" s="272" t="s">
        <v>150</v>
      </c>
      <c r="BS38" s="272" t="s">
        <v>150</v>
      </c>
      <c r="BT38" s="26"/>
      <c r="BU38" s="68">
        <f>(AN49)</f>
        <v>95.9633017757892</v>
      </c>
      <c r="BV38" s="272" t="s">
        <v>150</v>
      </c>
      <c r="BW38" s="272" t="s">
        <v>150</v>
      </c>
      <c r="BX38" s="26" t="s">
        <v>129</v>
      </c>
      <c r="BY38" s="26"/>
      <c r="BZ38" s="26">
        <v>0</v>
      </c>
      <c r="CA38" s="267" t="s">
        <v>49</v>
      </c>
      <c r="CB38" s="26" t="s">
        <v>26</v>
      </c>
      <c r="CC38" s="137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5">
        <v>2028917</v>
      </c>
      <c r="D39" s="138">
        <f t="shared" si="0"/>
        <v>1.944</v>
      </c>
      <c r="E39" s="140">
        <v>3.6</v>
      </c>
      <c r="F39" s="141">
        <v>0.4</v>
      </c>
      <c r="G39" s="81" t="str">
        <f t="shared" si="8"/>
        <v>0.00</v>
      </c>
      <c r="H39" s="85">
        <v>4500</v>
      </c>
      <c r="I39" s="86">
        <v>9000</v>
      </c>
      <c r="K39" s="87" t="s">
        <v>210</v>
      </c>
      <c r="L39" s="85">
        <v>69</v>
      </c>
      <c r="M39" s="88">
        <v>0.01</v>
      </c>
      <c r="O39" s="107"/>
      <c r="Q39" s="108">
        <v>23</v>
      </c>
      <c r="R39" s="153">
        <v>0.23</v>
      </c>
      <c r="S39" s="109">
        <v>5</v>
      </c>
      <c r="U39" s="93">
        <v>7.1</v>
      </c>
      <c r="V39" s="94">
        <v>6.9</v>
      </c>
      <c r="W39" s="95">
        <v>6.7</v>
      </c>
      <c r="Y39" s="90">
        <v>17</v>
      </c>
      <c r="Z39" s="96">
        <v>17</v>
      </c>
      <c r="AA39" s="92">
        <v>19</v>
      </c>
      <c r="AC39" s="93">
        <v>8</v>
      </c>
      <c r="AD39" s="91">
        <v>0</v>
      </c>
      <c r="AE39" s="97">
        <v>0</v>
      </c>
      <c r="AG39" s="45">
        <f t="shared" si="1"/>
        <v>28</v>
      </c>
      <c r="AI39" s="98"/>
      <c r="AJ39" s="55">
        <f t="shared" si="2"/>
      </c>
      <c r="AK39" s="98"/>
      <c r="AL39" s="55">
        <f t="shared" si="3"/>
      </c>
      <c r="AM39" s="98"/>
      <c r="AN39" s="55">
        <f t="shared" si="4"/>
      </c>
      <c r="AO39" s="110"/>
      <c r="AQ39" s="100"/>
      <c r="AR39" s="55">
        <f t="shared" si="5"/>
      </c>
      <c r="AS39" s="98"/>
      <c r="AT39" s="55">
        <f t="shared" si="6"/>
      </c>
      <c r="AU39" s="98"/>
      <c r="AV39" s="55"/>
      <c r="AX39" s="100">
        <v>72238</v>
      </c>
      <c r="AY39" s="101">
        <v>2</v>
      </c>
      <c r="AZ39" s="102">
        <v>4.5</v>
      </c>
      <c r="BA39" s="98">
        <v>47</v>
      </c>
      <c r="BB39" s="102">
        <v>37</v>
      </c>
      <c r="BC39" s="98">
        <v>24</v>
      </c>
      <c r="BD39" s="98">
        <v>4485</v>
      </c>
      <c r="BE39" s="103">
        <v>12.19</v>
      </c>
      <c r="BG39" s="100">
        <v>24</v>
      </c>
      <c r="BH39" s="84" t="s">
        <v>224</v>
      </c>
      <c r="BI39" s="104" t="s">
        <v>225</v>
      </c>
      <c r="BK39" s="17"/>
      <c r="BL39" s="19"/>
      <c r="BM39" s="26" t="s">
        <v>118</v>
      </c>
      <c r="BN39" s="20"/>
      <c r="BO39" s="154" t="s">
        <v>131</v>
      </c>
      <c r="BP39" s="26"/>
      <c r="BQ39" s="270" t="s">
        <v>150</v>
      </c>
      <c r="BR39" s="270" t="s">
        <v>150</v>
      </c>
      <c r="BS39" s="270" t="s">
        <v>150</v>
      </c>
      <c r="BT39" s="26"/>
      <c r="BU39" s="273">
        <v>85</v>
      </c>
      <c r="BV39" s="270" t="s">
        <v>150</v>
      </c>
      <c r="BW39" s="270" t="s">
        <v>150</v>
      </c>
      <c r="BX39" s="155" t="s">
        <v>129</v>
      </c>
      <c r="BY39" s="26"/>
      <c r="BZ39" s="270" t="s">
        <v>150</v>
      </c>
      <c r="CA39" s="271" t="s">
        <v>49</v>
      </c>
      <c r="CB39" s="155" t="s">
        <v>26</v>
      </c>
      <c r="CC39" s="137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5">
        <v>2030889</v>
      </c>
      <c r="D40" s="138">
        <f t="shared" si="0"/>
        <v>1.972</v>
      </c>
      <c r="E40" s="140">
        <v>3.4</v>
      </c>
      <c r="F40" s="141">
        <v>0.4</v>
      </c>
      <c r="G40" s="81" t="str">
        <f t="shared" si="8"/>
        <v>0.00</v>
      </c>
      <c r="H40" s="85">
        <v>2000</v>
      </c>
      <c r="I40" s="86">
        <v>5000</v>
      </c>
      <c r="K40" s="87" t="s">
        <v>210</v>
      </c>
      <c r="L40" s="85">
        <v>67</v>
      </c>
      <c r="M40" s="88">
        <v>0</v>
      </c>
      <c r="O40" s="107"/>
      <c r="Q40" s="108">
        <v>22</v>
      </c>
      <c r="R40" s="153">
        <v>0.26</v>
      </c>
      <c r="S40" s="109">
        <v>24</v>
      </c>
      <c r="U40" s="93">
        <v>7.3</v>
      </c>
      <c r="V40" s="94">
        <v>7</v>
      </c>
      <c r="W40" s="95">
        <v>6.8</v>
      </c>
      <c r="Y40" s="90">
        <v>17</v>
      </c>
      <c r="Z40" s="96">
        <v>18</v>
      </c>
      <c r="AA40" s="92">
        <v>19</v>
      </c>
      <c r="AC40" s="93">
        <v>11</v>
      </c>
      <c r="AD40" s="91">
        <v>0.01</v>
      </c>
      <c r="AE40" s="97">
        <v>0</v>
      </c>
      <c r="AG40" s="45">
        <f t="shared" si="1"/>
        <v>29</v>
      </c>
      <c r="AI40" s="98"/>
      <c r="AJ40" s="55">
        <f t="shared" si="2"/>
      </c>
      <c r="AK40" s="98"/>
      <c r="AL40" s="55">
        <f t="shared" si="3"/>
      </c>
      <c r="AM40" s="98"/>
      <c r="AN40" s="55">
        <f t="shared" si="4"/>
      </c>
      <c r="AO40" s="110"/>
      <c r="AQ40" s="100"/>
      <c r="AR40" s="55">
        <f t="shared" si="5"/>
      </c>
      <c r="AS40" s="98"/>
      <c r="AT40" s="55">
        <f t="shared" si="6"/>
      </c>
      <c r="AU40" s="98"/>
      <c r="AV40" s="55">
        <f t="shared" si="7"/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5">
        <v>2032886</v>
      </c>
      <c r="D41" s="138">
        <f t="shared" si="0"/>
        <v>1.997</v>
      </c>
      <c r="E41" s="140">
        <v>4</v>
      </c>
      <c r="F41" s="141">
        <v>0.4</v>
      </c>
      <c r="G41" s="81" t="str">
        <f t="shared" si="8"/>
        <v>0.00</v>
      </c>
      <c r="H41" s="85">
        <v>2700</v>
      </c>
      <c r="I41" s="86">
        <v>8000</v>
      </c>
      <c r="K41" s="87" t="s">
        <v>210</v>
      </c>
      <c r="L41" s="85">
        <v>68</v>
      </c>
      <c r="M41" s="88">
        <v>0</v>
      </c>
      <c r="O41" s="107"/>
      <c r="Q41" s="108">
        <v>23</v>
      </c>
      <c r="R41" s="153">
        <v>0.2</v>
      </c>
      <c r="S41" s="109">
        <v>15</v>
      </c>
      <c r="U41" s="93">
        <v>7.3</v>
      </c>
      <c r="V41" s="94">
        <v>7</v>
      </c>
      <c r="W41" s="95">
        <v>6.6</v>
      </c>
      <c r="Y41" s="90">
        <v>17</v>
      </c>
      <c r="Z41" s="96">
        <v>18</v>
      </c>
      <c r="AA41" s="92">
        <v>19</v>
      </c>
      <c r="AC41" s="93">
        <v>6</v>
      </c>
      <c r="AD41" s="91">
        <v>0.01</v>
      </c>
      <c r="AE41" s="97">
        <v>0</v>
      </c>
      <c r="AG41" s="45">
        <f t="shared" si="1"/>
        <v>30</v>
      </c>
      <c r="AI41" s="98">
        <v>258</v>
      </c>
      <c r="AJ41" s="55">
        <f t="shared" si="2"/>
        <v>4296.98484</v>
      </c>
      <c r="AK41" s="98"/>
      <c r="AL41" s="55">
        <f t="shared" si="3"/>
      </c>
      <c r="AM41" s="98">
        <v>13</v>
      </c>
      <c r="AN41" s="55">
        <f t="shared" si="4"/>
        <v>216.51474000000002</v>
      </c>
      <c r="AO41" s="110">
        <v>11</v>
      </c>
      <c r="AQ41" s="100">
        <v>226</v>
      </c>
      <c r="AR41" s="55">
        <f t="shared" si="5"/>
        <v>3764.02548</v>
      </c>
      <c r="AS41" s="98"/>
      <c r="AT41" s="55">
        <f t="shared" si="6"/>
      </c>
      <c r="AU41" s="98">
        <v>19</v>
      </c>
      <c r="AV41" s="55">
        <f t="shared" si="7"/>
        <v>316.44462000000004</v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3">
        <v>2034919</v>
      </c>
      <c r="D42" s="139">
        <f t="shared" si="0"/>
        <v>2.033</v>
      </c>
      <c r="E42" s="142">
        <v>3.4</v>
      </c>
      <c r="F42" s="143">
        <v>0.4</v>
      </c>
      <c r="G42" s="184" t="str">
        <f t="shared" si="8"/>
        <v>0.00</v>
      </c>
      <c r="H42" s="113">
        <v>3700</v>
      </c>
      <c r="I42" s="114">
        <v>9500</v>
      </c>
      <c r="K42" s="115" t="s">
        <v>210</v>
      </c>
      <c r="L42" s="113">
        <v>68</v>
      </c>
      <c r="M42" s="116">
        <v>0</v>
      </c>
      <c r="O42" s="117"/>
      <c r="Q42" s="257">
        <v>25</v>
      </c>
      <c r="R42" s="258">
        <v>0.28</v>
      </c>
      <c r="S42" s="114"/>
      <c r="U42" s="134">
        <v>7.2</v>
      </c>
      <c r="V42" s="135">
        <v>7</v>
      </c>
      <c r="W42" s="136">
        <v>6.5</v>
      </c>
      <c r="Y42" s="133">
        <v>18</v>
      </c>
      <c r="Z42" s="113">
        <v>18</v>
      </c>
      <c r="AA42" s="114">
        <v>19</v>
      </c>
      <c r="AC42" s="134">
        <v>5.5</v>
      </c>
      <c r="AD42" s="112">
        <v>0.01</v>
      </c>
      <c r="AE42" s="116">
        <v>0</v>
      </c>
      <c r="AG42" s="45">
        <f t="shared" si="1"/>
        <v>31</v>
      </c>
      <c r="AI42" s="126">
        <v>288</v>
      </c>
      <c r="AJ42" s="65">
        <f t="shared" si="2"/>
        <v>4883.10336</v>
      </c>
      <c r="AK42" s="126"/>
      <c r="AL42" s="65">
        <f t="shared" si="3"/>
      </c>
      <c r="AM42" s="126">
        <v>9</v>
      </c>
      <c r="AN42" s="65">
        <f t="shared" si="4"/>
        <v>152.59698</v>
      </c>
      <c r="AO42" s="127">
        <v>6</v>
      </c>
      <c r="AQ42" s="128">
        <v>316</v>
      </c>
      <c r="AR42" s="65">
        <f t="shared" si="5"/>
        <v>5357.84952</v>
      </c>
      <c r="AS42" s="126"/>
      <c r="AT42" s="65">
        <f t="shared" si="6"/>
      </c>
      <c r="AU42" s="126">
        <v>19</v>
      </c>
      <c r="AV42" s="65">
        <f t="shared" si="7"/>
        <v>322.14917999999994</v>
      </c>
      <c r="AX42" s="128">
        <v>57264</v>
      </c>
      <c r="AY42" s="129">
        <v>3</v>
      </c>
      <c r="AZ42" s="130">
        <v>3.5</v>
      </c>
      <c r="BA42" s="126">
        <v>32</v>
      </c>
      <c r="BB42" s="130">
        <v>35</v>
      </c>
      <c r="BC42" s="126">
        <v>24</v>
      </c>
      <c r="BD42" s="126">
        <v>1995</v>
      </c>
      <c r="BE42" s="131">
        <v>12.4</v>
      </c>
      <c r="BG42" s="128">
        <v>24</v>
      </c>
      <c r="BH42" s="111" t="s">
        <v>224</v>
      </c>
      <c r="BI42" s="132" t="s">
        <v>225</v>
      </c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2" t="s">
        <v>150</v>
      </c>
      <c r="BR43" s="272" t="s">
        <v>150</v>
      </c>
      <c r="BS43" s="272" t="s">
        <v>150</v>
      </c>
      <c r="BT43" s="26"/>
      <c r="BU43" s="68">
        <f>(AU49)</f>
        <v>93.54995150339475</v>
      </c>
      <c r="BV43" s="272" t="s">
        <v>150</v>
      </c>
      <c r="BW43" s="272" t="s">
        <v>150</v>
      </c>
      <c r="BX43" s="26" t="s">
        <v>129</v>
      </c>
      <c r="BY43" s="26"/>
      <c r="BZ43" s="26">
        <v>0</v>
      </c>
      <c r="CA43" s="267" t="s">
        <v>49</v>
      </c>
      <c r="CB43" s="26" t="s">
        <v>26</v>
      </c>
      <c r="CC43" s="137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9">
        <f>(IF(((SUM(C12:C42))=0)," ",((MAX(C12:C42))-C11)))</f>
        <v>65430</v>
      </c>
      <c r="D44" s="228">
        <f>(IF(((SUM(D12:D42))=0)," ",(SUM(D12:D42))))</f>
        <v>65.43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90000</v>
      </c>
      <c r="I44" s="196">
        <f>(IF(((SUM(I12:I42))=0)," ",(SUM(I12:I42))))</f>
        <v>173000</v>
      </c>
      <c r="K44" s="200" t="s">
        <v>150</v>
      </c>
      <c r="L44" s="201" t="s">
        <v>150</v>
      </c>
      <c r="M44" s="202">
        <f>(IF(((SUM(M12:M42))=0)," ",(SUM(M11:M42))))</f>
        <v>1.3600000000000003</v>
      </c>
      <c r="O44" s="203" t="str">
        <f>(IF(((SUM(O12:O42))=0),"0.0",(SUM(O11:O42))))</f>
        <v>0.0</v>
      </c>
      <c r="Q44" s="199">
        <f>(IF(((SUM(Q12:Q42))=0),"0",(SUM(Q11:Q42))))</f>
        <v>692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533009</v>
      </c>
      <c r="AY44" s="201" t="s">
        <v>150</v>
      </c>
      <c r="AZ44" s="212">
        <f>(IF(((SUM(AZ12:AZ42))=0)," ",(SUM(AZ12:AZ42))))</f>
        <v>34.5</v>
      </c>
      <c r="BA44" s="199">
        <f>(IF(((SUM(BA12:BA42))=0)," ",(SUM(BA12:BA42))))</f>
        <v>320</v>
      </c>
      <c r="BB44" s="207" t="s">
        <v>150</v>
      </c>
      <c r="BC44" s="199">
        <f>(IF(((SUM(BC12:BC42))=0)," ",(SUM(BC12:BC42))))</f>
        <v>216</v>
      </c>
      <c r="BD44" s="189">
        <f>(IF(((SUM(BD12:BD42))=0)," ",(SUM(BD12:BD42))))</f>
        <v>10223</v>
      </c>
      <c r="BE44" s="210" t="s">
        <v>150</v>
      </c>
      <c r="BG44" s="199">
        <f>(IF(((SUM(BG12:BG42))=0)," ",(SUM(BG12:BG42))))</f>
        <v>216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70" t="s">
        <v>150</v>
      </c>
      <c r="BR44" s="270" t="s">
        <v>150</v>
      </c>
      <c r="BS44" s="270" t="s">
        <v>150</v>
      </c>
      <c r="BT44" s="26"/>
      <c r="BU44" s="273">
        <v>85</v>
      </c>
      <c r="BV44" s="270" t="s">
        <v>150</v>
      </c>
      <c r="BW44" s="270" t="s">
        <v>150</v>
      </c>
      <c r="BX44" s="155" t="s">
        <v>129</v>
      </c>
      <c r="BY44" s="26"/>
      <c r="BZ44" s="270" t="s">
        <v>150</v>
      </c>
      <c r="CA44" s="271" t="s">
        <v>49</v>
      </c>
      <c r="CB44" s="155" t="s">
        <v>26</v>
      </c>
      <c r="CC44" s="137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2.385</v>
      </c>
      <c r="E45" s="216">
        <f>(IF((SUM(E12:E42))=0," ",(MAX(E12:E42))))</f>
        <v>4.6</v>
      </c>
      <c r="F45" s="217">
        <f>(IF((SUM(F12:F42))=0," ",(MAX(F12:F42))))</f>
        <v>0.6</v>
      </c>
      <c r="G45" s="216">
        <f>(MAX(G12:G42))</f>
        <v>0</v>
      </c>
      <c r="H45" s="162">
        <f>(IF((SUM(H12:H42))=0," ",(MAX(H12:H42))))</f>
        <v>9300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77</v>
      </c>
      <c r="M45" s="219">
        <f>(IF((SUM(M12:M42))=0," ",(MAX(M12:M42))))</f>
        <v>0.54</v>
      </c>
      <c r="O45" s="220" t="s">
        <v>150</v>
      </c>
      <c r="Q45" s="221" t="s">
        <v>150</v>
      </c>
      <c r="R45" s="184">
        <f>(IF(((SUM(R12:R42))=0),"-",(MAX(R12:R42))))</f>
        <v>0.41</v>
      </c>
      <c r="S45" s="163">
        <f>(IF(((SUM(S12:S42))=0),"-",(MAX(S12:S42))))</f>
        <v>208</v>
      </c>
      <c r="U45" s="222">
        <f>(IF((SUM(U12:U42))=0," ",(MAX(U12:U42))))</f>
        <v>7.4</v>
      </c>
      <c r="V45" s="183">
        <f>(IF((SUM(V12:V42))=0," ",(MAX(V12:V42))))</f>
        <v>7.1</v>
      </c>
      <c r="W45" s="223">
        <f>(IF((SUM(W12:W42))=0," ",(MAX(W12:W42))))</f>
        <v>6.8</v>
      </c>
      <c r="Y45" s="218">
        <f>(IF((SUM(Y12:Y42))=0," ",(MAX(Y12:Y42))))</f>
        <v>18</v>
      </c>
      <c r="Z45" s="162">
        <f>(IF((SUM(Z12:Z42))=0," ",(MAX(Z12:Z42))))</f>
        <v>18</v>
      </c>
      <c r="AA45" s="163">
        <f>(IF((SUM(AA12:AA42))=0," ",(MAX(AA12:AA42))))</f>
        <v>19</v>
      </c>
      <c r="AC45" s="222">
        <f>(IF((SUM(AC12:AC42))=0," ",(MAX(AC12:AC42))))</f>
        <v>17</v>
      </c>
      <c r="AD45" s="184">
        <f>(IF((SUM(AD12:AD42))=0," ",(MAX(AD12:AD42))))</f>
        <v>2.5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361</v>
      </c>
      <c r="AJ45" s="162">
        <f t="shared" si="9"/>
        <v>6409.86546</v>
      </c>
      <c r="AK45" s="218">
        <f t="shared" si="9"/>
        <v>181</v>
      </c>
      <c r="AL45" s="163">
        <f t="shared" si="9"/>
        <v>3041.7231</v>
      </c>
      <c r="AM45" s="218">
        <f t="shared" si="9"/>
        <v>16</v>
      </c>
      <c r="AN45" s="163">
        <f t="shared" si="9"/>
        <v>312.38304</v>
      </c>
      <c r="AO45" s="224">
        <f t="shared" si="9"/>
        <v>13</v>
      </c>
      <c r="AQ45" s="218">
        <f aca="true" t="shared" si="10" ref="AQ45:AV45">(IF((SUM(AQ12:AQ42))=0," ",(MAX(AQ12:AQ42))))</f>
        <v>388</v>
      </c>
      <c r="AR45" s="163">
        <f t="shared" si="10"/>
        <v>7575.2887200000005</v>
      </c>
      <c r="AS45" s="218">
        <f t="shared" si="10"/>
        <v>123</v>
      </c>
      <c r="AT45" s="163">
        <f t="shared" si="10"/>
        <v>2183.97078</v>
      </c>
      <c r="AU45" s="218">
        <f t="shared" si="10"/>
        <v>25</v>
      </c>
      <c r="AV45" s="163">
        <f t="shared" si="10"/>
        <v>488.09850000000006</v>
      </c>
      <c r="AX45" s="221" t="s">
        <v>150</v>
      </c>
      <c r="AY45" s="183">
        <f>(IF((SUM(AY12:AY42))=0," ",(MAX(AY12:AY42))))</f>
        <v>4</v>
      </c>
      <c r="AZ45" s="225" t="s">
        <v>150</v>
      </c>
      <c r="BA45" s="221" t="s">
        <v>150</v>
      </c>
      <c r="BB45" s="223">
        <f>(IF((SUM(BB12:BB42))=0," ",(MAX(BB12:BB42))))</f>
        <v>37</v>
      </c>
      <c r="BC45" s="221" t="s">
        <v>150</v>
      </c>
      <c r="BD45" s="179" t="s">
        <v>150</v>
      </c>
      <c r="BE45" s="219">
        <f>(IF((SUM(BE12:BE42))=0," ",(MAX(BE12:BE42))))</f>
        <v>12.4</v>
      </c>
      <c r="BG45" s="221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1.886</v>
      </c>
      <c r="E46" s="227">
        <f>(IF((SUM(E12:E42))=0," ",(MIN(E12:E42))))</f>
        <v>3.4</v>
      </c>
      <c r="F46" s="228">
        <f>(IF((SUM(F12:F42))=0," ",(MIN(F12:F42))))</f>
        <v>0.4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59</v>
      </c>
      <c r="M46" s="202">
        <f>(IF((SUM(M12:M42))=0," ",(MIN(M12:M42))))</f>
        <v>0</v>
      </c>
      <c r="O46" s="229" t="s">
        <v>150</v>
      </c>
      <c r="Q46" s="208" t="s">
        <v>150</v>
      </c>
      <c r="R46" s="191">
        <f>(IF(((SUM(R12:R42))=0),"-",(MIN(R12:R42))))</f>
        <v>0.16</v>
      </c>
      <c r="S46" s="196">
        <f>(IF(((SUM(S12:S42))=0),"-",(MIN(S12:S42))))</f>
        <v>3</v>
      </c>
      <c r="U46" s="230">
        <f>(IF((SUM(U12:U42))=0," ",(MIN(U12:U42))))</f>
        <v>6.7</v>
      </c>
      <c r="V46" s="192">
        <f>(IF((SUM(V12:V42))=0," ",(MIN(V12:V42))))</f>
        <v>6.2</v>
      </c>
      <c r="W46" s="212">
        <f>(IF((SUM(W12:W42))=0," ",(MIN(W12:W42))))</f>
        <v>6.1</v>
      </c>
      <c r="Y46" s="199">
        <f aca="true" t="shared" si="11" ref="Y46:AD46">(IF((SUM(Y12:Y42))=0," ",(MIN(Y12:Y42))))</f>
        <v>15</v>
      </c>
      <c r="Z46" s="189">
        <f t="shared" si="11"/>
        <v>15</v>
      </c>
      <c r="AA46" s="196">
        <f t="shared" si="11"/>
        <v>17</v>
      </c>
      <c r="AB46" s="265" t="str">
        <f t="shared" si="11"/>
        <v> </v>
      </c>
      <c r="AC46" s="230">
        <f t="shared" si="11"/>
        <v>3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223</v>
      </c>
      <c r="AJ46" s="189">
        <f t="shared" si="12"/>
        <v>4244.10924</v>
      </c>
      <c r="AK46" s="199">
        <f t="shared" si="12"/>
        <v>123</v>
      </c>
      <c r="AL46" s="196">
        <f t="shared" si="12"/>
        <v>2433.24504</v>
      </c>
      <c r="AM46" s="199">
        <f t="shared" si="12"/>
        <v>8</v>
      </c>
      <c r="AN46" s="196">
        <f t="shared" si="12"/>
        <v>139.17792</v>
      </c>
      <c r="AO46" s="231">
        <f t="shared" si="12"/>
        <v>6</v>
      </c>
      <c r="AQ46" s="199">
        <f aca="true" t="shared" si="13" ref="AQ46:AV46">(IF((SUM(AQ12:AQ42))=0," ",(MIN(AQ12:AQ42))))</f>
        <v>220</v>
      </c>
      <c r="AR46" s="196">
        <f t="shared" si="13"/>
        <v>3764.02548</v>
      </c>
      <c r="AS46" s="199">
        <f t="shared" si="13"/>
        <v>78</v>
      </c>
      <c r="AT46" s="196">
        <f t="shared" si="13"/>
        <v>1543.03344</v>
      </c>
      <c r="AU46" s="199">
        <f t="shared" si="13"/>
        <v>15</v>
      </c>
      <c r="AV46" s="196">
        <f t="shared" si="13"/>
        <v>259.58250000000004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26</v>
      </c>
      <c r="BC46" s="208" t="s">
        <v>150</v>
      </c>
      <c r="BD46" s="209" t="s">
        <v>150</v>
      </c>
      <c r="BE46" s="202">
        <f>(IF((SUM(BE12:BE42))=0," ",(MIN(BE12:BE42))))</f>
        <v>12.19</v>
      </c>
      <c r="BG46" s="208" t="s">
        <v>150</v>
      </c>
      <c r="BH46" s="214" t="s">
        <v>150</v>
      </c>
      <c r="BI46" s="215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2.1106451612903228</v>
      </c>
      <c r="E47" s="216">
        <f>(IF((SUM(E12:E42))=0," ",(AVERAGE(E12:E42))))</f>
        <v>3.7741935483870974</v>
      </c>
      <c r="F47" s="217">
        <f>(IF((SUM(F12:F42))=0," ",(AVERAGE(F12:F42))))</f>
        <v>0.5741935483870965</v>
      </c>
      <c r="G47" s="216" t="str">
        <f>(IF((SUM(G12:G42))=0,"0.000",(AVERAGE(G12:G42))))</f>
        <v>0.000</v>
      </c>
      <c r="H47" s="162">
        <f>(IF((SUM(H12:H42))=0," ",(AVERAGE(H12:H42))))</f>
        <v>2903.2258064516127</v>
      </c>
      <c r="I47" s="163">
        <f>(IF((SUM(I12:I42))=0," ",(AVERAGE(I12:I42))))</f>
        <v>5580.645161290323</v>
      </c>
      <c r="K47" s="180" t="s">
        <v>150</v>
      </c>
      <c r="L47" s="183">
        <f>(IF((SUM(L12:L42))=0," ",(AVERAGE(L12:L42))))</f>
        <v>68.54838709677419</v>
      </c>
      <c r="M47" s="219">
        <f>(IF((SUM(M12:M42))=0," ",(AVERAGE(M12:M42))))</f>
        <v>0.043870967741935496</v>
      </c>
      <c r="O47" s="220" t="s">
        <v>150</v>
      </c>
      <c r="Q47" s="218">
        <f>(IF((SUM(Q12:Q42))=0," ",(AVERAGE(Q12:Q42))))</f>
        <v>22.322580645161292</v>
      </c>
      <c r="R47" s="233" t="s">
        <v>150</v>
      </c>
      <c r="S47" s="234" t="s">
        <v>150</v>
      </c>
      <c r="U47" s="222">
        <f>(IF((SUM(U12:U42))=0," ",(AVERAGE(U12:U42))))</f>
        <v>7.096774193548387</v>
      </c>
      <c r="V47" s="183">
        <f>(IF((SUM(V12:V42))=0," ",(AVERAGE(V12:V42))))</f>
        <v>6.8903225806451625</v>
      </c>
      <c r="W47" s="223">
        <f>(IF((SUM(W12:W42))=0," ",(AVERAGE(W12:W42))))</f>
        <v>6.451612903225807</v>
      </c>
      <c r="Y47" s="218">
        <f>(IF((SUM(Y12:Y42))=0," ",(AVERAGE(Y12:Y42))))</f>
        <v>16.70967741935484</v>
      </c>
      <c r="Z47" s="162">
        <f>(IF((SUM(Z12:Z42))=0," ",(AVERAGE(Z12:Z42))))</f>
        <v>16.903225806451612</v>
      </c>
      <c r="AA47" s="163">
        <f>(IF((SUM(AA12:AA42))=0," ",(AVERAGE(AA12:AA42))))</f>
        <v>18.225806451612904</v>
      </c>
      <c r="AC47" s="222">
        <f>(IF((SUM(AC12:AC42))=0," ",(AVERAGE(AC12:AC42))))</f>
        <v>7.548387096774194</v>
      </c>
      <c r="AD47" s="184">
        <f>(IF((SUM(AD12:AD42))=0," ",(AVERAGE(AD12:AD42))))</f>
        <v>0.13870967741935472</v>
      </c>
      <c r="AE47" s="219">
        <f>(IF((COUNT(AE12:AE42))=0," ",(AVERAGE(AE12:AE42))))</f>
        <v>0.0019354838709677422</v>
      </c>
      <c r="AG47" s="26" t="str">
        <f>($A47)</f>
        <v>Average</v>
      </c>
      <c r="AI47" s="162">
        <f aca="true" t="shared" si="14" ref="AI47:AO47">(IF((SUM(AI12:AI42))=0," ",(AVERAGE(AI12:AI42))))</f>
        <v>271.64285714285717</v>
      </c>
      <c r="AJ47" s="162">
        <f t="shared" si="14"/>
        <v>4925.156022857142</v>
      </c>
      <c r="AK47" s="218">
        <f t="shared" si="14"/>
        <v>159.5</v>
      </c>
      <c r="AL47" s="163">
        <f t="shared" si="14"/>
        <v>2832.216045</v>
      </c>
      <c r="AM47" s="218">
        <f t="shared" si="14"/>
        <v>10.928571428571429</v>
      </c>
      <c r="AN47" s="163">
        <f t="shared" si="14"/>
        <v>198.8136857142857</v>
      </c>
      <c r="AO47" s="224">
        <f t="shared" si="14"/>
        <v>8</v>
      </c>
      <c r="AQ47" s="218">
        <f aca="true" t="shared" si="15" ref="AQ47:AV47">(IF((SUM(AQ12:AQ42))=0," ",(AVERAGE(AQ12:AQ42))))</f>
        <v>294.57142857142856</v>
      </c>
      <c r="AR47" s="163">
        <f t="shared" si="15"/>
        <v>5351.916205714287</v>
      </c>
      <c r="AS47" s="218">
        <f t="shared" si="15"/>
        <v>104.25</v>
      </c>
      <c r="AT47" s="163">
        <f t="shared" si="15"/>
        <v>1851.236055</v>
      </c>
      <c r="AU47" s="218">
        <f t="shared" si="15"/>
        <v>19</v>
      </c>
      <c r="AV47" s="163">
        <f t="shared" si="15"/>
        <v>346.1505085714286</v>
      </c>
      <c r="AX47" s="218">
        <f aca="true" t="shared" si="16" ref="AX47:BE47">(IF((SUM(AX12:AX42))=0," ",(AVERAGE(AX12:AX42))))</f>
        <v>59223.22222222222</v>
      </c>
      <c r="AY47" s="183">
        <f t="shared" si="16"/>
        <v>3</v>
      </c>
      <c r="AZ47" s="223">
        <f t="shared" si="16"/>
        <v>3.8333333333333335</v>
      </c>
      <c r="BA47" s="218">
        <f t="shared" si="16"/>
        <v>35.55555555555556</v>
      </c>
      <c r="BB47" s="223">
        <f t="shared" si="16"/>
        <v>30.22222222222222</v>
      </c>
      <c r="BC47" s="218">
        <f t="shared" si="16"/>
        <v>24</v>
      </c>
      <c r="BD47" s="162">
        <f t="shared" si="16"/>
        <v>2555.75</v>
      </c>
      <c r="BE47" s="219">
        <f t="shared" si="16"/>
        <v>12.2525</v>
      </c>
      <c r="BG47" s="218">
        <f>(IF((SUM(BG12:BG42))=0," ",(AVERAGE(BG12:BG42))))</f>
        <v>24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7" t="s">
        <v>203</v>
      </c>
      <c r="BR48" s="272" t="s">
        <v>150</v>
      </c>
      <c r="BS48" s="277" t="s">
        <v>203</v>
      </c>
      <c r="BT48" s="26"/>
      <c r="BU48" s="272" t="s">
        <v>150</v>
      </c>
      <c r="BV48" s="58">
        <f>(S49)</f>
        <v>15.186613780092134</v>
      </c>
      <c r="BW48" s="58">
        <f>(S45)</f>
        <v>208</v>
      </c>
      <c r="BX48" s="272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>
        <f>(IF(((SUM(S12:S42))=0),"-",(GEOMEAN(S12:S42))))</f>
        <v>15.186613780092134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95.9633017757892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93.54995150339475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78" t="s">
        <v>203</v>
      </c>
      <c r="BR49" s="270" t="s">
        <v>150</v>
      </c>
      <c r="BS49" s="278" t="s">
        <v>203</v>
      </c>
      <c r="BT49" s="26"/>
      <c r="BU49" s="270" t="s">
        <v>150</v>
      </c>
      <c r="BV49" s="269">
        <v>142</v>
      </c>
      <c r="BW49" s="269">
        <v>949</v>
      </c>
      <c r="BX49" s="279" t="s">
        <v>204</v>
      </c>
      <c r="BY49" s="26"/>
      <c r="BZ49" s="270" t="s">
        <v>150</v>
      </c>
      <c r="CA49" s="276" t="s">
        <v>205</v>
      </c>
      <c r="CB49" s="155" t="s">
        <v>23</v>
      </c>
      <c r="CC49" s="27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H51" s="265" t="s">
        <v>201</v>
      </c>
      <c r="AI51" s="17" t="s">
        <v>220</v>
      </c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O52" s="11"/>
      <c r="Q52" s="11"/>
      <c r="R52" s="11"/>
      <c r="S52" s="11"/>
      <c r="U52" s="11"/>
      <c r="V52" s="11"/>
      <c r="W52" s="11"/>
      <c r="Y52" s="11"/>
      <c r="Z52" s="11"/>
      <c r="AA52" s="11"/>
      <c r="AC52" s="11"/>
      <c r="AD52" s="11"/>
      <c r="AE52" s="11"/>
      <c r="AG52" s="11"/>
      <c r="AH52" s="265" t="s">
        <v>221</v>
      </c>
      <c r="AI52" s="11" t="s">
        <v>222</v>
      </c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X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K52" s="11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11"/>
    </row>
    <row r="53" spans="1:94" ht="18" customHeight="1">
      <c r="A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O53" s="11"/>
      <c r="Q53" s="11"/>
      <c r="R53" s="11"/>
      <c r="S53" s="11"/>
      <c r="U53" s="11"/>
      <c r="V53" s="11"/>
      <c r="W53" s="11"/>
      <c r="Y53" s="11"/>
      <c r="Z53" s="11"/>
      <c r="AA53" s="11"/>
      <c r="AC53" s="11"/>
      <c r="AD53" s="11"/>
      <c r="AE53" s="11"/>
      <c r="AG53" s="11"/>
      <c r="AH53" s="265" t="s">
        <v>219</v>
      </c>
      <c r="AI53" s="11" t="s">
        <v>223</v>
      </c>
      <c r="AJ53" s="11"/>
      <c r="AK53" s="11"/>
      <c r="AL53" s="11"/>
      <c r="AM53" s="11"/>
      <c r="AN53" s="11"/>
      <c r="AO53" s="11"/>
      <c r="AQ53" s="11"/>
      <c r="AR53" s="11"/>
      <c r="AS53" s="11"/>
      <c r="AT53" s="11"/>
      <c r="AU53" s="11"/>
      <c r="AV53" s="11"/>
      <c r="AX53" s="11"/>
      <c r="AY53" s="11"/>
      <c r="AZ53" s="11"/>
      <c r="BA53" s="11"/>
      <c r="BB53" s="11"/>
      <c r="BC53" s="11"/>
      <c r="BD53" s="11"/>
      <c r="BE53" s="11"/>
      <c r="BG53" s="11"/>
      <c r="BH53" s="11"/>
      <c r="BI53" s="11"/>
      <c r="BK53" s="11"/>
      <c r="BL53" s="19"/>
      <c r="BM53" s="20" t="s">
        <v>206</v>
      </c>
      <c r="BN53" s="20"/>
      <c r="BO53" s="57" t="s">
        <v>130</v>
      </c>
      <c r="BP53" s="20"/>
      <c r="BQ53" s="277" t="s">
        <v>203</v>
      </c>
      <c r="BR53" s="272" t="s">
        <v>150</v>
      </c>
      <c r="BS53" s="277" t="s">
        <v>203</v>
      </c>
      <c r="BT53" s="26"/>
      <c r="BU53" s="272" t="s">
        <v>150</v>
      </c>
      <c r="BV53" s="272" t="s">
        <v>150</v>
      </c>
      <c r="BW53" s="71">
        <f>(R45)</f>
        <v>0.41</v>
      </c>
      <c r="BX53" s="272" t="s">
        <v>150</v>
      </c>
      <c r="BY53" s="26"/>
      <c r="BZ53" s="26">
        <v>0</v>
      </c>
      <c r="CA53" s="75" t="s">
        <v>207</v>
      </c>
      <c r="CB53" s="26" t="s">
        <v>23</v>
      </c>
      <c r="CC53" s="27"/>
      <c r="CP53" s="11"/>
    </row>
    <row r="54" spans="1:94" ht="18" customHeight="1">
      <c r="A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O54" s="11"/>
      <c r="Q54" s="11"/>
      <c r="R54" s="11"/>
      <c r="S54" s="11"/>
      <c r="U54" s="11"/>
      <c r="V54" s="11"/>
      <c r="W54" s="11"/>
      <c r="Y54" s="11"/>
      <c r="Z54" s="11"/>
      <c r="AA54" s="11"/>
      <c r="AC54" s="11"/>
      <c r="AD54" s="11"/>
      <c r="AE54" s="11"/>
      <c r="AG54" s="11"/>
      <c r="AI54" s="11"/>
      <c r="AJ54" s="11"/>
      <c r="AK54" s="11"/>
      <c r="AL54" s="11"/>
      <c r="AM54" s="11"/>
      <c r="AN54" s="11"/>
      <c r="AO54" s="11"/>
      <c r="AQ54" s="11"/>
      <c r="AR54" s="11"/>
      <c r="AS54" s="11"/>
      <c r="AT54" s="11"/>
      <c r="AU54" s="11"/>
      <c r="AV54" s="11"/>
      <c r="AX54" s="11"/>
      <c r="AY54" s="11"/>
      <c r="AZ54" s="11"/>
      <c r="BA54" s="11"/>
      <c r="BB54" s="11"/>
      <c r="BC54" s="11"/>
      <c r="BD54" s="11"/>
      <c r="BE54" s="11"/>
      <c r="BG54" s="11"/>
      <c r="BH54" s="11"/>
      <c r="BI54" s="11"/>
      <c r="BK54" s="11"/>
      <c r="BL54" s="19"/>
      <c r="BM54" s="26" t="s">
        <v>86</v>
      </c>
      <c r="BN54" s="20"/>
      <c r="BO54" s="154" t="s">
        <v>131</v>
      </c>
      <c r="BP54" s="20"/>
      <c r="BQ54" s="278" t="s">
        <v>203</v>
      </c>
      <c r="BR54" s="270" t="s">
        <v>150</v>
      </c>
      <c r="BS54" s="278" t="s">
        <v>203</v>
      </c>
      <c r="BT54" s="26"/>
      <c r="BU54" s="270" t="s">
        <v>150</v>
      </c>
      <c r="BV54" s="270" t="s">
        <v>150</v>
      </c>
      <c r="BW54" s="279">
        <v>0.86</v>
      </c>
      <c r="BX54" s="279" t="s">
        <v>44</v>
      </c>
      <c r="BY54" s="26"/>
      <c r="BZ54" s="270" t="s">
        <v>150</v>
      </c>
      <c r="CA54" s="271" t="s">
        <v>207</v>
      </c>
      <c r="CB54" s="155" t="s">
        <v>23</v>
      </c>
      <c r="CC54" s="27"/>
      <c r="CP54" s="11"/>
    </row>
    <row r="55" spans="1:94" ht="18" customHeight="1">
      <c r="A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O55" s="17"/>
      <c r="Q55" s="17"/>
      <c r="R55" s="17"/>
      <c r="S55" s="17"/>
      <c r="U55" s="17"/>
      <c r="V55" s="17"/>
      <c r="W55" s="17"/>
      <c r="Y55" s="17"/>
      <c r="Z55" s="17"/>
      <c r="AA55" s="17"/>
      <c r="AC55" s="17"/>
      <c r="AD55" s="17"/>
      <c r="AE55" s="17"/>
      <c r="AG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T55" s="11"/>
      <c r="AU55" s="11"/>
      <c r="AV55" s="11"/>
      <c r="AX55" s="11"/>
      <c r="AY55" s="11"/>
      <c r="AZ55" s="11"/>
      <c r="BA55" s="11"/>
      <c r="BB55" s="11"/>
      <c r="BC55" s="11"/>
      <c r="BD55" s="11"/>
      <c r="BE55" s="11"/>
      <c r="BG55" s="11"/>
      <c r="BH55" s="11"/>
      <c r="BI55" s="11"/>
      <c r="BK55" s="11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11"/>
    </row>
    <row r="56" spans="1:94" ht="18" customHeight="1">
      <c r="A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1"/>
      <c r="AI56" s="11"/>
      <c r="AJ56" s="11"/>
      <c r="AK56" s="11"/>
      <c r="AL56" s="11"/>
      <c r="AM56" s="11"/>
      <c r="AN56" s="11"/>
      <c r="AO56" s="11"/>
      <c r="AQ56" s="11"/>
      <c r="AR56" s="11"/>
      <c r="AS56" s="11"/>
      <c r="AT56" s="11"/>
      <c r="AU56" s="11"/>
      <c r="AV56" s="11"/>
      <c r="AX56" s="11"/>
      <c r="AY56" s="11"/>
      <c r="AZ56" s="11"/>
      <c r="BA56" s="11"/>
      <c r="BB56" s="11"/>
      <c r="BC56" s="11"/>
      <c r="BD56" s="11"/>
      <c r="BE56" s="11"/>
      <c r="BG56" s="11"/>
      <c r="BH56" s="11"/>
      <c r="BI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P56" s="11"/>
    </row>
    <row r="57" spans="1:9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/>
      <c r="O57" s="11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/>
      <c r="AC57" s="17"/>
      <c r="AD57" s="17"/>
      <c r="AE57" s="17"/>
      <c r="AF57" s="17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/>
      <c r="CE57"/>
      <c r="CF57"/>
      <c r="CG57"/>
      <c r="CH57"/>
      <c r="CI57"/>
      <c r="CJ57"/>
      <c r="CK57"/>
      <c r="CL57"/>
      <c r="CM57"/>
      <c r="CN57"/>
      <c r="CO57"/>
      <c r="CP57" s="11"/>
    </row>
    <row r="58" spans="1:9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/>
      <c r="O58" s="11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/>
      <c r="CE58"/>
      <c r="CF58"/>
      <c r="CG58"/>
      <c r="CH58"/>
      <c r="CI58"/>
      <c r="CJ58"/>
      <c r="CK58"/>
      <c r="CL58"/>
      <c r="CM58"/>
      <c r="CN58"/>
      <c r="CO58"/>
      <c r="CP58" s="11"/>
    </row>
    <row r="59" spans="1:9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 password="CCAE" sheet="1" objects="1" scenarios="1"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196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August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August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1">
        <v>2034919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5">
        <v>2036877</v>
      </c>
      <c r="D12" s="138">
        <f aca="true" t="shared" si="0" ref="D12:D42">(IF(C12=0," ",((C12-C11)/1000)))</f>
        <v>1.958</v>
      </c>
      <c r="E12" s="140">
        <v>3.3</v>
      </c>
      <c r="F12" s="141">
        <v>0.4</v>
      </c>
      <c r="G12" s="81" t="str">
        <f aca="true" t="shared" si="1" ref="G12:G42">(IF(C12=0," ","0.00"))</f>
        <v>0.00</v>
      </c>
      <c r="H12" s="85">
        <v>100</v>
      </c>
      <c r="I12" s="86">
        <v>5000</v>
      </c>
      <c r="J12" s="11"/>
      <c r="K12" s="87" t="s">
        <v>210</v>
      </c>
      <c r="L12" s="85">
        <v>62</v>
      </c>
      <c r="M12" s="88">
        <v>0.65</v>
      </c>
      <c r="N12" s="11"/>
      <c r="O12" s="89"/>
      <c r="P12" s="11"/>
      <c r="Q12" s="108">
        <v>24</v>
      </c>
      <c r="R12" s="153">
        <v>0.25</v>
      </c>
      <c r="S12" s="109"/>
      <c r="T12" s="11"/>
      <c r="U12" s="93">
        <v>7.3</v>
      </c>
      <c r="V12" s="94">
        <v>7</v>
      </c>
      <c r="W12" s="95">
        <v>6.7</v>
      </c>
      <c r="X12" s="11"/>
      <c r="Y12" s="90">
        <v>17</v>
      </c>
      <c r="Z12" s="96">
        <v>18</v>
      </c>
      <c r="AA12" s="92">
        <v>19</v>
      </c>
      <c r="AB12" s="11"/>
      <c r="AC12" s="93">
        <v>3.5</v>
      </c>
      <c r="AD12" s="91">
        <v>0.01</v>
      </c>
      <c r="AE12" s="97">
        <v>0</v>
      </c>
      <c r="AF12" s="11"/>
      <c r="AG12" s="45">
        <f aca="true" t="shared" si="2" ref="AG12:AG42">($A12)</f>
        <v>1</v>
      </c>
      <c r="AH12" s="11"/>
      <c r="AI12" s="98">
        <v>358</v>
      </c>
      <c r="AJ12" s="55">
        <f aca="true" t="shared" si="3" ref="AJ12:AJ42">IF(AI12=0,"",(D12*AI12*8.34))</f>
        <v>5846.03976</v>
      </c>
      <c r="AK12" s="98">
        <v>177</v>
      </c>
      <c r="AL12" s="55">
        <f aca="true" t="shared" si="4" ref="AL12:AL42">IF(AK12=0,"",(D12*AK12*8.34))</f>
        <v>2890.36044</v>
      </c>
      <c r="AM12" s="98">
        <v>12</v>
      </c>
      <c r="AN12" s="55">
        <f aca="true" t="shared" si="5" ref="AN12:AN42">IF(AM12=0,"",(D12*AM12*8.34))</f>
        <v>195.95664</v>
      </c>
      <c r="AO12" s="99">
        <v>8</v>
      </c>
      <c r="AP12" s="11"/>
      <c r="AQ12" s="100">
        <v>402</v>
      </c>
      <c r="AR12" s="55">
        <f aca="true" t="shared" si="6" ref="AR12:AR42">IF(AQ12=0,"",(D12*AQ12*8.34))</f>
        <v>6564.547439999999</v>
      </c>
      <c r="AS12" s="98">
        <v>103</v>
      </c>
      <c r="AT12" s="55">
        <f aca="true" t="shared" si="7" ref="AT12:AT42">IF(AS12=0,"",(D12*AS12*8.34))</f>
        <v>1681.96116</v>
      </c>
      <c r="AU12" s="98">
        <v>17</v>
      </c>
      <c r="AV12" s="55">
        <f aca="true" t="shared" si="8" ref="AV12:AV42">IF(AU12=0,"",(D12*AU12*8.34))</f>
        <v>277.60524</v>
      </c>
      <c r="AW12" s="11"/>
      <c r="AX12" s="100"/>
      <c r="AY12" s="101"/>
      <c r="AZ12" s="102"/>
      <c r="BA12" s="98"/>
      <c r="BB12" s="102"/>
      <c r="BC12" s="98"/>
      <c r="BD12" s="98"/>
      <c r="BE12" s="103"/>
      <c r="BF12" s="11"/>
      <c r="BG12" s="100"/>
      <c r="BH12" s="84"/>
      <c r="BI12" s="104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6">
        <f>(IF(((SUM(AN12:AN42))=0)," ",(AVERAGE(AN12:AN42))))</f>
        <v>170.71723384615385</v>
      </c>
      <c r="BR12" s="186">
        <f>MAX(AN12:AN42)</f>
        <v>227.79041999999998</v>
      </c>
      <c r="BS12" s="26" t="s">
        <v>126</v>
      </c>
      <c r="BT12" s="26"/>
      <c r="BU12" s="186">
        <f>(IF(((SUM(AM12:AM42))=0)," ",(AVERAGE(AM12:AM42))))</f>
        <v>10.615384615384615</v>
      </c>
      <c r="BV12" s="58">
        <f>(CG23)</f>
        <v>12</v>
      </c>
      <c r="BW12" s="186">
        <f>MAX(AM12:AM42)</f>
        <v>13</v>
      </c>
      <c r="BX12" s="26" t="s">
        <v>128</v>
      </c>
      <c r="BY12" s="26"/>
      <c r="BZ12" s="26">
        <v>0</v>
      </c>
      <c r="CA12" s="267" t="s">
        <v>47</v>
      </c>
      <c r="CB12" s="26">
        <v>24</v>
      </c>
      <c r="CC12" s="137"/>
      <c r="CE12" s="24"/>
      <c r="CF12" s="20" t="s">
        <v>138</v>
      </c>
      <c r="CG12" s="106">
        <v>11</v>
      </c>
      <c r="CH12" s="106">
        <v>189</v>
      </c>
      <c r="CI12" s="286"/>
      <c r="CJ12" s="106">
        <v>18</v>
      </c>
      <c r="CK12" s="106">
        <v>305</v>
      </c>
      <c r="CL12" s="53"/>
      <c r="CM12" s="152">
        <v>0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5">
        <v>2038995</v>
      </c>
      <c r="D13" s="138">
        <f t="shared" si="0"/>
        <v>2.118</v>
      </c>
      <c r="E13" s="140">
        <v>3.6</v>
      </c>
      <c r="F13" s="141">
        <v>0.4</v>
      </c>
      <c r="G13" s="81" t="str">
        <f t="shared" si="1"/>
        <v>0.00</v>
      </c>
      <c r="H13" s="85">
        <v>0</v>
      </c>
      <c r="I13" s="86">
        <v>750</v>
      </c>
      <c r="J13" s="11"/>
      <c r="K13" s="87" t="s">
        <v>213</v>
      </c>
      <c r="L13" s="85">
        <v>65</v>
      </c>
      <c r="M13" s="88">
        <v>0.07</v>
      </c>
      <c r="N13" s="11"/>
      <c r="O13" s="107"/>
      <c r="P13" s="11"/>
      <c r="Q13" s="108">
        <v>26</v>
      </c>
      <c r="R13" s="153">
        <v>0.21</v>
      </c>
      <c r="S13" s="109"/>
      <c r="T13" s="11"/>
      <c r="U13" s="93">
        <v>7</v>
      </c>
      <c r="V13" s="94">
        <v>7</v>
      </c>
      <c r="W13" s="95">
        <v>6.6</v>
      </c>
      <c r="X13" s="11"/>
      <c r="Y13" s="90">
        <v>17</v>
      </c>
      <c r="Z13" s="96">
        <v>17</v>
      </c>
      <c r="AA13" s="92">
        <v>19</v>
      </c>
      <c r="AB13" s="11"/>
      <c r="AC13" s="93">
        <v>4</v>
      </c>
      <c r="AD13" s="91">
        <v>0.01</v>
      </c>
      <c r="AE13" s="97">
        <v>0</v>
      </c>
      <c r="AF13" s="11"/>
      <c r="AG13" s="45">
        <f t="shared" si="2"/>
        <v>2</v>
      </c>
      <c r="AH13" s="11"/>
      <c r="AI13" s="98"/>
      <c r="AJ13" s="55">
        <f t="shared" si="3"/>
      </c>
      <c r="AK13" s="98"/>
      <c r="AL13" s="55">
        <f t="shared" si="4"/>
      </c>
      <c r="AM13" s="98"/>
      <c r="AN13" s="55">
        <f t="shared" si="5"/>
      </c>
      <c r="AO13" s="110"/>
      <c r="AP13" s="11"/>
      <c r="AQ13" s="100"/>
      <c r="AR13" s="55">
        <f t="shared" si="6"/>
      </c>
      <c r="AS13" s="98"/>
      <c r="AT13" s="55">
        <f t="shared" si="7"/>
      </c>
      <c r="AU13" s="98"/>
      <c r="AV13" s="55">
        <f t="shared" si="8"/>
      </c>
      <c r="AW13" s="11"/>
      <c r="AX13" s="100"/>
      <c r="AY13" s="101"/>
      <c r="AZ13" s="102"/>
      <c r="BA13" s="98"/>
      <c r="BB13" s="102"/>
      <c r="BC13" s="98"/>
      <c r="BD13" s="98"/>
      <c r="BE13" s="103"/>
      <c r="BF13" s="11"/>
      <c r="BG13" s="100"/>
      <c r="BH13" s="84"/>
      <c r="BI13" s="104"/>
      <c r="BJ13" s="11"/>
      <c r="BK13" s="17"/>
      <c r="BL13" s="19"/>
      <c r="BM13" s="26" t="s">
        <v>86</v>
      </c>
      <c r="BN13" s="20"/>
      <c r="BO13" s="154" t="s">
        <v>131</v>
      </c>
      <c r="BP13" s="26"/>
      <c r="BQ13" s="268">
        <v>963</v>
      </c>
      <c r="BR13" s="268">
        <v>1605</v>
      </c>
      <c r="BS13" s="155" t="s">
        <v>126</v>
      </c>
      <c r="BT13" s="26"/>
      <c r="BU13" s="268">
        <v>30</v>
      </c>
      <c r="BV13" s="269">
        <v>45</v>
      </c>
      <c r="BW13" s="268">
        <v>50</v>
      </c>
      <c r="BX13" s="155" t="s">
        <v>128</v>
      </c>
      <c r="BY13" s="26"/>
      <c r="BZ13" s="270" t="s">
        <v>150</v>
      </c>
      <c r="CA13" s="271" t="s">
        <v>47</v>
      </c>
      <c r="CB13" s="155">
        <v>24</v>
      </c>
      <c r="CC13" s="137"/>
      <c r="CE13" s="24"/>
      <c r="CF13" s="20"/>
      <c r="CG13" s="286"/>
      <c r="CH13" s="286"/>
      <c r="CI13" s="286"/>
      <c r="CJ13" s="286"/>
      <c r="CK13" s="286"/>
      <c r="CL13" s="53"/>
      <c r="CM13" s="287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5">
        <v>2040896</v>
      </c>
      <c r="D14" s="138">
        <f t="shared" si="0"/>
        <v>1.901</v>
      </c>
      <c r="E14" s="140">
        <v>3.2</v>
      </c>
      <c r="F14" s="141">
        <v>0.4</v>
      </c>
      <c r="G14" s="81" t="str">
        <f t="shared" si="1"/>
        <v>0.00</v>
      </c>
      <c r="H14" s="85">
        <v>200</v>
      </c>
      <c r="I14" s="86">
        <v>0</v>
      </c>
      <c r="K14" s="87" t="s">
        <v>208</v>
      </c>
      <c r="L14" s="85">
        <v>67</v>
      </c>
      <c r="M14" s="88">
        <v>0</v>
      </c>
      <c r="O14" s="107"/>
      <c r="Q14" s="108">
        <v>23</v>
      </c>
      <c r="R14" s="153">
        <v>0.31</v>
      </c>
      <c r="S14" s="109"/>
      <c r="U14" s="93">
        <v>7.1</v>
      </c>
      <c r="V14" s="94">
        <v>7</v>
      </c>
      <c r="W14" s="95">
        <v>6.6</v>
      </c>
      <c r="Y14" s="90">
        <v>17</v>
      </c>
      <c r="Z14" s="96">
        <v>18</v>
      </c>
      <c r="AA14" s="92">
        <v>19</v>
      </c>
      <c r="AC14" s="93">
        <v>3</v>
      </c>
      <c r="AD14" s="91">
        <v>0.01</v>
      </c>
      <c r="AE14" s="97">
        <v>0</v>
      </c>
      <c r="AG14" s="45">
        <f t="shared" si="2"/>
        <v>3</v>
      </c>
      <c r="AI14" s="98"/>
      <c r="AJ14" s="55">
        <f t="shared" si="3"/>
      </c>
      <c r="AK14" s="98"/>
      <c r="AL14" s="55">
        <f t="shared" si="4"/>
      </c>
      <c r="AM14" s="98"/>
      <c r="AN14" s="55">
        <f t="shared" si="5"/>
      </c>
      <c r="AO14" s="110"/>
      <c r="AQ14" s="100"/>
      <c r="AR14" s="55">
        <f t="shared" si="6"/>
      </c>
      <c r="AS14" s="98"/>
      <c r="AT14" s="55">
        <f t="shared" si="7"/>
      </c>
      <c r="AU14" s="98"/>
      <c r="AV14" s="55">
        <f t="shared" si="8"/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(IF(((SUM(AM16:AM18))=0)," ",(AVERAGE(AM16:AM28))))</f>
        <v>12</v>
      </c>
      <c r="CH14" s="106">
        <f>(IF(((SUM(AN16:AN18))=0)," ",(AVERAGE(AN16:AN18))))</f>
        <v>204.9416</v>
      </c>
      <c r="CI14" s="286"/>
      <c r="CJ14" s="106">
        <f>(IF(((SUM(AU16:AU18))=0)," ",(AVERAGE(AU16:AU18))))</f>
        <v>19</v>
      </c>
      <c r="CK14" s="106">
        <f>(IF(((SUM(AV16:AV18))=0)," ",(AVERAGE(AV16:AV18))))</f>
        <v>324.32313999999997</v>
      </c>
      <c r="CL14" s="53"/>
      <c r="CM14" s="152">
        <f>(AVERAGE(AE14:AE20))</f>
        <v>0.002857142857142857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5">
        <v>2042751</v>
      </c>
      <c r="D15" s="138">
        <f t="shared" si="0"/>
        <v>1.855</v>
      </c>
      <c r="E15" s="140">
        <v>3.4</v>
      </c>
      <c r="F15" s="141">
        <v>0.4</v>
      </c>
      <c r="G15" s="81" t="str">
        <f t="shared" si="1"/>
        <v>0.00</v>
      </c>
      <c r="H15" s="85">
        <v>3000</v>
      </c>
      <c r="I15" s="86">
        <v>7000</v>
      </c>
      <c r="K15" s="87" t="s">
        <v>208</v>
      </c>
      <c r="L15" s="85">
        <v>69</v>
      </c>
      <c r="M15" s="88">
        <v>0.15</v>
      </c>
      <c r="O15" s="107"/>
      <c r="Q15" s="108">
        <v>24</v>
      </c>
      <c r="R15" s="153">
        <v>0.33</v>
      </c>
      <c r="S15" s="109">
        <v>50</v>
      </c>
      <c r="U15" s="93">
        <v>7.2</v>
      </c>
      <c r="V15" s="94">
        <v>7</v>
      </c>
      <c r="W15" s="95">
        <v>6.5</v>
      </c>
      <c r="Y15" s="90">
        <v>18</v>
      </c>
      <c r="Z15" s="96">
        <v>18</v>
      </c>
      <c r="AA15" s="92">
        <v>19</v>
      </c>
      <c r="AC15" s="93">
        <v>6</v>
      </c>
      <c r="AD15" s="91">
        <v>0.01</v>
      </c>
      <c r="AE15" s="97">
        <v>0</v>
      </c>
      <c r="AG15" s="45">
        <f t="shared" si="2"/>
        <v>4</v>
      </c>
      <c r="AI15" s="98"/>
      <c r="AJ15" s="55">
        <f t="shared" si="3"/>
      </c>
      <c r="AK15" s="98"/>
      <c r="AL15" s="55">
        <f t="shared" si="4"/>
      </c>
      <c r="AM15" s="98"/>
      <c r="AN15" s="55">
        <f t="shared" si="5"/>
      </c>
      <c r="AO15" s="110"/>
      <c r="AQ15" s="100"/>
      <c r="AR15" s="55">
        <f t="shared" si="6"/>
      </c>
      <c r="AS15" s="98"/>
      <c r="AT15" s="55">
        <f t="shared" si="7"/>
      </c>
      <c r="AU15" s="98"/>
      <c r="AV15" s="55">
        <f t="shared" si="8"/>
      </c>
      <c r="AX15" s="100">
        <v>53697</v>
      </c>
      <c r="AY15" s="101">
        <v>3</v>
      </c>
      <c r="AZ15" s="102">
        <v>3.5</v>
      </c>
      <c r="BA15" s="98">
        <v>34.1</v>
      </c>
      <c r="BB15" s="102">
        <v>35</v>
      </c>
      <c r="BC15" s="98">
        <v>24</v>
      </c>
      <c r="BD15" s="98">
        <v>2310</v>
      </c>
      <c r="BE15" s="103">
        <v>12.21</v>
      </c>
      <c r="BG15" s="100">
        <v>24</v>
      </c>
      <c r="BH15" s="84" t="s">
        <v>226</v>
      </c>
      <c r="BI15" s="104" t="s">
        <v>227</v>
      </c>
      <c r="CE15" s="24"/>
      <c r="CF15" s="20"/>
      <c r="CG15" s="286"/>
      <c r="CH15" s="286"/>
      <c r="CI15" s="286"/>
      <c r="CJ15" s="286"/>
      <c r="CK15" s="286"/>
      <c r="CL15" s="53"/>
      <c r="CM15" s="287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3">
        <v>2044764</v>
      </c>
      <c r="D16" s="139">
        <f t="shared" si="0"/>
        <v>2.013</v>
      </c>
      <c r="E16" s="142">
        <v>4.2</v>
      </c>
      <c r="F16" s="143">
        <v>0.4</v>
      </c>
      <c r="G16" s="184" t="str">
        <f t="shared" si="1"/>
        <v>0.00</v>
      </c>
      <c r="H16" s="113">
        <v>5050</v>
      </c>
      <c r="I16" s="114">
        <v>10000</v>
      </c>
      <c r="K16" s="115" t="s">
        <v>208</v>
      </c>
      <c r="L16" s="113">
        <v>70</v>
      </c>
      <c r="M16" s="116">
        <v>0.01</v>
      </c>
      <c r="O16" s="117"/>
      <c r="Q16" s="257">
        <v>26</v>
      </c>
      <c r="R16" s="258">
        <v>0.32</v>
      </c>
      <c r="S16" s="263">
        <v>23</v>
      </c>
      <c r="U16" s="118">
        <v>7.3</v>
      </c>
      <c r="V16" s="119">
        <v>7</v>
      </c>
      <c r="W16" s="120">
        <v>6.7</v>
      </c>
      <c r="Y16" s="121">
        <v>18</v>
      </c>
      <c r="Z16" s="122">
        <v>18</v>
      </c>
      <c r="AA16" s="123">
        <v>19</v>
      </c>
      <c r="AC16" s="118">
        <v>10</v>
      </c>
      <c r="AD16" s="124">
        <v>0.1</v>
      </c>
      <c r="AE16" s="125">
        <v>0.01</v>
      </c>
      <c r="AG16" s="45">
        <f t="shared" si="2"/>
        <v>5</v>
      </c>
      <c r="AI16" s="126">
        <v>310</v>
      </c>
      <c r="AJ16" s="65">
        <f t="shared" si="3"/>
        <v>5204.410199999999</v>
      </c>
      <c r="AK16" s="126"/>
      <c r="AL16" s="65">
        <f t="shared" si="4"/>
      </c>
      <c r="AM16" s="126">
        <v>11</v>
      </c>
      <c r="AN16" s="65">
        <f t="shared" si="5"/>
        <v>184.67262</v>
      </c>
      <c r="AO16" s="127">
        <v>8</v>
      </c>
      <c r="AQ16" s="128">
        <v>304</v>
      </c>
      <c r="AR16" s="65">
        <f t="shared" si="6"/>
        <v>5103.67968</v>
      </c>
      <c r="AS16" s="126"/>
      <c r="AT16" s="65">
        <f t="shared" si="7"/>
      </c>
      <c r="AU16" s="126">
        <v>19</v>
      </c>
      <c r="AV16" s="65">
        <f t="shared" si="8"/>
        <v>318.97998</v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(IF(((SUM(AM24:AM26))=0)," ",(AVERAGE(AM24:AM26))))</f>
        <v>12</v>
      </c>
      <c r="CH16" s="106">
        <f>(IF(((SUM(AN24:AN26))=0)," ",(AVERAGE(AN24:AN26))))</f>
        <v>193.45741999999998</v>
      </c>
      <c r="CI16" s="286"/>
      <c r="CJ16" s="106">
        <f>(IF(((SUM(AU24:AU26))=0)," ",(AVERAGE(AU24:AU26))))</f>
        <v>15.333333333333334</v>
      </c>
      <c r="CK16" s="106">
        <f>(IF(((SUM(AV24:AV26))=0)," ",(AVERAGE(AV24:AV26))))</f>
        <v>247.22817999999998</v>
      </c>
      <c r="CL16" s="53"/>
      <c r="CM16" s="152">
        <f>(AVERAGE(AE21:AE27))</f>
        <v>0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5">
        <v>2046865</v>
      </c>
      <c r="D17" s="138">
        <f t="shared" si="0"/>
        <v>2.101</v>
      </c>
      <c r="E17" s="140">
        <v>3.6</v>
      </c>
      <c r="F17" s="141">
        <v>0.4</v>
      </c>
      <c r="G17" s="81" t="str">
        <f t="shared" si="1"/>
        <v>0.00</v>
      </c>
      <c r="H17" s="85">
        <v>6500</v>
      </c>
      <c r="I17" s="86">
        <v>7750</v>
      </c>
      <c r="K17" s="87" t="s">
        <v>208</v>
      </c>
      <c r="L17" s="85">
        <v>71</v>
      </c>
      <c r="M17" s="88">
        <v>0</v>
      </c>
      <c r="O17" s="107"/>
      <c r="Q17" s="108">
        <v>24</v>
      </c>
      <c r="R17" s="153">
        <v>0.27</v>
      </c>
      <c r="S17" s="109">
        <v>73</v>
      </c>
      <c r="U17" s="93">
        <v>7.1</v>
      </c>
      <c r="V17" s="94">
        <v>7</v>
      </c>
      <c r="W17" s="95">
        <v>6.6</v>
      </c>
      <c r="Y17" s="90">
        <v>18</v>
      </c>
      <c r="Z17" s="96">
        <v>18</v>
      </c>
      <c r="AA17" s="92">
        <v>19</v>
      </c>
      <c r="AC17" s="93">
        <v>5</v>
      </c>
      <c r="AD17" s="91">
        <v>0.01</v>
      </c>
      <c r="AE17" s="97">
        <v>0</v>
      </c>
      <c r="AG17" s="45">
        <f t="shared" si="2"/>
        <v>6</v>
      </c>
      <c r="AI17" s="98">
        <v>283</v>
      </c>
      <c r="AJ17" s="55">
        <f t="shared" si="3"/>
        <v>4958.82222</v>
      </c>
      <c r="AK17" s="98"/>
      <c r="AL17" s="55">
        <f t="shared" si="4"/>
      </c>
      <c r="AM17" s="98">
        <v>13</v>
      </c>
      <c r="AN17" s="55">
        <f t="shared" si="5"/>
        <v>227.79041999999998</v>
      </c>
      <c r="AO17" s="110">
        <v>8</v>
      </c>
      <c r="AQ17" s="100">
        <v>344</v>
      </c>
      <c r="AR17" s="55">
        <f t="shared" si="6"/>
        <v>6027.6849600000005</v>
      </c>
      <c r="AS17" s="98"/>
      <c r="AT17" s="55">
        <f t="shared" si="7"/>
      </c>
      <c r="AU17" s="98">
        <v>20</v>
      </c>
      <c r="AV17" s="55">
        <f t="shared" si="8"/>
        <v>350.44679999999994</v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72" t="s">
        <v>150</v>
      </c>
      <c r="BR17" s="272" t="s">
        <v>150</v>
      </c>
      <c r="BS17" s="272" t="s">
        <v>150</v>
      </c>
      <c r="BT17" s="26"/>
      <c r="BU17" s="68">
        <f>MIN(W12:W42)</f>
        <v>6.5</v>
      </c>
      <c r="BV17" s="272" t="s">
        <v>150</v>
      </c>
      <c r="BW17" s="68">
        <f>MAX(W12:W42)</f>
        <v>6.9</v>
      </c>
      <c r="BX17" s="26" t="s">
        <v>43</v>
      </c>
      <c r="BY17" s="26"/>
      <c r="BZ17" s="26">
        <v>0</v>
      </c>
      <c r="CA17" s="267" t="s">
        <v>48</v>
      </c>
      <c r="CB17" s="26" t="s">
        <v>23</v>
      </c>
      <c r="CC17" s="137"/>
      <c r="CE17" s="69"/>
      <c r="CF17" s="20"/>
      <c r="CG17" s="286"/>
      <c r="CH17" s="286"/>
      <c r="CI17" s="286"/>
      <c r="CJ17" s="286"/>
      <c r="CK17" s="286"/>
      <c r="CL17" s="20"/>
      <c r="CM17" s="287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5">
        <v>2048887</v>
      </c>
      <c r="D18" s="138">
        <f t="shared" si="0"/>
        <v>2.022</v>
      </c>
      <c r="E18" s="140">
        <v>4.2</v>
      </c>
      <c r="F18" s="141">
        <v>0.4</v>
      </c>
      <c r="G18" s="81" t="str">
        <f t="shared" si="1"/>
        <v>0.00</v>
      </c>
      <c r="H18" s="85">
        <v>4000</v>
      </c>
      <c r="I18" s="86">
        <v>8500</v>
      </c>
      <c r="K18" s="87" t="s">
        <v>208</v>
      </c>
      <c r="L18" s="85">
        <v>71</v>
      </c>
      <c r="M18" s="88">
        <v>0</v>
      </c>
      <c r="O18" s="107"/>
      <c r="Q18" s="108">
        <v>25</v>
      </c>
      <c r="R18" s="153">
        <v>0.25</v>
      </c>
      <c r="S18" s="109"/>
      <c r="U18" s="93">
        <v>7.2</v>
      </c>
      <c r="V18" s="94">
        <v>7</v>
      </c>
      <c r="W18" s="95">
        <v>6.6</v>
      </c>
      <c r="Y18" s="90">
        <v>18</v>
      </c>
      <c r="Z18" s="96">
        <v>18</v>
      </c>
      <c r="AA18" s="92">
        <v>19</v>
      </c>
      <c r="AC18" s="93">
        <v>6</v>
      </c>
      <c r="AD18" s="91">
        <v>0.1</v>
      </c>
      <c r="AE18" s="97">
        <v>0.01</v>
      </c>
      <c r="AG18" s="45">
        <f t="shared" si="2"/>
        <v>7</v>
      </c>
      <c r="AI18" s="98">
        <v>315</v>
      </c>
      <c r="AJ18" s="55">
        <f t="shared" si="3"/>
        <v>5311.9962</v>
      </c>
      <c r="AK18" s="98">
        <v>137</v>
      </c>
      <c r="AL18" s="55">
        <f t="shared" si="4"/>
        <v>2310.2967599999997</v>
      </c>
      <c r="AM18" s="98">
        <v>12</v>
      </c>
      <c r="AN18" s="55">
        <f t="shared" si="5"/>
        <v>202.36175999999998</v>
      </c>
      <c r="AO18" s="110">
        <v>7</v>
      </c>
      <c r="AQ18" s="100">
        <v>350</v>
      </c>
      <c r="AR18" s="55">
        <f t="shared" si="6"/>
        <v>5902.217999999999</v>
      </c>
      <c r="AS18" s="98">
        <v>93</v>
      </c>
      <c r="AT18" s="55">
        <f t="shared" si="7"/>
        <v>1568.3036399999999</v>
      </c>
      <c r="AU18" s="98">
        <v>18</v>
      </c>
      <c r="AV18" s="55">
        <f t="shared" si="8"/>
        <v>303.54263999999995</v>
      </c>
      <c r="AX18" s="100">
        <v>54748</v>
      </c>
      <c r="AY18" s="101">
        <v>4</v>
      </c>
      <c r="AZ18" s="102">
        <v>5.25</v>
      </c>
      <c r="BA18" s="98">
        <v>34.1</v>
      </c>
      <c r="BB18" s="102">
        <v>43</v>
      </c>
      <c r="BC18" s="98">
        <v>24</v>
      </c>
      <c r="BD18" s="98">
        <v>4658</v>
      </c>
      <c r="BE18" s="103">
        <v>12.21</v>
      </c>
      <c r="BG18" s="100">
        <v>24</v>
      </c>
      <c r="BH18" s="84" t="s">
        <v>226</v>
      </c>
      <c r="BI18" s="104" t="s">
        <v>227</v>
      </c>
      <c r="BK18" s="17"/>
      <c r="BL18" s="19"/>
      <c r="BM18" s="26" t="s">
        <v>86</v>
      </c>
      <c r="BN18" s="20"/>
      <c r="BO18" s="154" t="s">
        <v>131</v>
      </c>
      <c r="BP18" s="26"/>
      <c r="BQ18" s="270" t="s">
        <v>150</v>
      </c>
      <c r="BR18" s="270" t="s">
        <v>150</v>
      </c>
      <c r="BS18" s="270" t="s">
        <v>150</v>
      </c>
      <c r="BT18" s="26"/>
      <c r="BU18" s="273">
        <v>6</v>
      </c>
      <c r="BV18" s="270" t="s">
        <v>150</v>
      </c>
      <c r="BW18" s="155">
        <v>8.5</v>
      </c>
      <c r="BX18" s="155" t="s">
        <v>43</v>
      </c>
      <c r="BY18" s="26"/>
      <c r="BZ18" s="270" t="s">
        <v>150</v>
      </c>
      <c r="CA18" s="271" t="s">
        <v>48</v>
      </c>
      <c r="CB18" s="155" t="s">
        <v>23</v>
      </c>
      <c r="CC18" s="137"/>
      <c r="CE18" s="69"/>
      <c r="CF18" s="20" t="s">
        <v>141</v>
      </c>
      <c r="CG18" s="106">
        <f>(IF(((SUM(AM31:AM33))=0)," ",(AVERAGE(AM31:AM33))))</f>
        <v>8</v>
      </c>
      <c r="CH18" s="106">
        <f>(IF(((SUM(AN31:AN33))=0)," ",(AVERAGE(AN31:AN33))))</f>
        <v>124.58848</v>
      </c>
      <c r="CI18" s="286"/>
      <c r="CJ18" s="106">
        <f>(IF(((SUM(AU31:AU33))=0)," ",(AVERAGE(AU31:AU33))))</f>
        <v>16</v>
      </c>
      <c r="CK18" s="106">
        <f>(IF(((SUM(AV31:AV33))=0)," ",(AVERAGE(AV31:AV33))))</f>
        <v>249.32985999999997</v>
      </c>
      <c r="CL18" s="20"/>
      <c r="CM18" s="152">
        <f>(AVERAGE(AE28:AE34))</f>
        <v>0.0014285714285714286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5">
        <v>2050966</v>
      </c>
      <c r="D19" s="138">
        <f t="shared" si="0"/>
        <v>2.079</v>
      </c>
      <c r="E19" s="140">
        <v>3.6</v>
      </c>
      <c r="F19" s="141">
        <v>0.4</v>
      </c>
      <c r="G19" s="81" t="str">
        <f t="shared" si="1"/>
        <v>0.00</v>
      </c>
      <c r="H19" s="85">
        <v>300</v>
      </c>
      <c r="I19" s="86">
        <v>6500</v>
      </c>
      <c r="K19" s="87" t="s">
        <v>208</v>
      </c>
      <c r="L19" s="85">
        <v>69</v>
      </c>
      <c r="M19" s="88">
        <v>0.31</v>
      </c>
      <c r="O19" s="107"/>
      <c r="Q19" s="108">
        <v>24</v>
      </c>
      <c r="R19" s="153">
        <v>0.25</v>
      </c>
      <c r="S19" s="109"/>
      <c r="U19" s="93">
        <v>7.4</v>
      </c>
      <c r="V19" s="94">
        <v>7.1</v>
      </c>
      <c r="W19" s="95">
        <v>6.8</v>
      </c>
      <c r="Y19" s="90">
        <v>17</v>
      </c>
      <c r="Z19" s="96">
        <v>18</v>
      </c>
      <c r="AA19" s="92">
        <v>20</v>
      </c>
      <c r="AC19" s="93">
        <v>4</v>
      </c>
      <c r="AD19" s="91">
        <v>0.01</v>
      </c>
      <c r="AE19" s="97">
        <v>0</v>
      </c>
      <c r="AG19" s="45">
        <f t="shared" si="2"/>
        <v>8</v>
      </c>
      <c r="AI19" s="98"/>
      <c r="AJ19" s="55">
        <f t="shared" si="3"/>
      </c>
      <c r="AK19" s="98"/>
      <c r="AL19" s="55">
        <f t="shared" si="4"/>
      </c>
      <c r="AM19" s="98"/>
      <c r="AN19" s="55">
        <f t="shared" si="5"/>
      </c>
      <c r="AO19" s="110"/>
      <c r="AQ19" s="100"/>
      <c r="AR19" s="55">
        <f t="shared" si="6"/>
      </c>
      <c r="AS19" s="98"/>
      <c r="AT19" s="55">
        <f t="shared" si="7"/>
      </c>
      <c r="AU19" s="98"/>
      <c r="AV19" s="55">
        <f t="shared" si="8"/>
      </c>
      <c r="AX19" s="100"/>
      <c r="AY19" s="101"/>
      <c r="AZ19" s="102"/>
      <c r="BA19" s="98"/>
      <c r="BB19" s="102"/>
      <c r="BC19" s="98"/>
      <c r="BD19" s="98"/>
      <c r="BE19" s="103"/>
      <c r="BG19" s="100"/>
      <c r="BH19" s="84"/>
      <c r="BI19" s="104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86"/>
      <c r="CH19" s="286"/>
      <c r="CI19" s="286"/>
      <c r="CJ19" s="286"/>
      <c r="CK19" s="286"/>
      <c r="CL19" s="20"/>
      <c r="CM19" s="287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5">
        <v>2053002</v>
      </c>
      <c r="D20" s="138">
        <f t="shared" si="0"/>
        <v>2.036</v>
      </c>
      <c r="E20" s="140">
        <v>3.5</v>
      </c>
      <c r="F20" s="141">
        <v>0.4</v>
      </c>
      <c r="G20" s="81" t="str">
        <f t="shared" si="1"/>
        <v>0.00</v>
      </c>
      <c r="H20" s="85">
        <v>3800</v>
      </c>
      <c r="I20" s="86">
        <v>0</v>
      </c>
      <c r="K20" s="87" t="s">
        <v>208</v>
      </c>
      <c r="L20" s="85">
        <v>70</v>
      </c>
      <c r="M20" s="88">
        <v>0.01</v>
      </c>
      <c r="O20" s="107"/>
      <c r="Q20" s="108">
        <v>20</v>
      </c>
      <c r="R20" s="153">
        <v>0.23</v>
      </c>
      <c r="S20" s="109"/>
      <c r="U20" s="93">
        <v>7.3</v>
      </c>
      <c r="V20" s="94">
        <v>7</v>
      </c>
      <c r="W20" s="95">
        <v>6.7</v>
      </c>
      <c r="Y20" s="90">
        <v>17</v>
      </c>
      <c r="Z20" s="96">
        <v>18</v>
      </c>
      <c r="AA20" s="92">
        <v>20</v>
      </c>
      <c r="AC20" s="93">
        <v>7.5</v>
      </c>
      <c r="AD20" s="91">
        <v>0</v>
      </c>
      <c r="AE20" s="97">
        <v>0</v>
      </c>
      <c r="AG20" s="45">
        <f t="shared" si="2"/>
        <v>9</v>
      </c>
      <c r="AI20" s="98"/>
      <c r="AJ20" s="55">
        <f t="shared" si="3"/>
      </c>
      <c r="AK20" s="98"/>
      <c r="AL20" s="55">
        <f t="shared" si="4"/>
      </c>
      <c r="AM20" s="98"/>
      <c r="AN20" s="55">
        <f t="shared" si="5"/>
      </c>
      <c r="AO20" s="110"/>
      <c r="AQ20" s="100"/>
      <c r="AR20" s="55">
        <f t="shared" si="6"/>
      </c>
      <c r="AS20" s="98"/>
      <c r="AT20" s="55">
        <f t="shared" si="7"/>
      </c>
      <c r="AU20" s="98"/>
      <c r="AV20" s="55">
        <f t="shared" si="8"/>
      </c>
      <c r="AX20" s="100"/>
      <c r="AY20" s="101"/>
      <c r="AZ20" s="102"/>
      <c r="BA20" s="98"/>
      <c r="BB20" s="102"/>
      <c r="BC20" s="98"/>
      <c r="BD20" s="98"/>
      <c r="BE20" s="103"/>
      <c r="BG20" s="100"/>
      <c r="BH20" s="84"/>
      <c r="BI20" s="104"/>
      <c r="CE20" s="69"/>
      <c r="CF20" s="20" t="s">
        <v>142</v>
      </c>
      <c r="CG20" s="106">
        <f>(IF(((SUM(AM38:AM40))=0)," ",(AVERAGE(AM38:AM40))))</f>
        <v>10</v>
      </c>
      <c r="CH20" s="106">
        <f>(IF(((SUM(AN38:AN40))=0)," ",(AVERAGE(AN38:AN40))))</f>
        <v>151.4683</v>
      </c>
      <c r="CI20" s="286"/>
      <c r="CJ20" s="106">
        <f>(IF(((SUM(AU38:AU40))=0)," ",(AVERAGE(AU38:AU40))))</f>
        <v>16</v>
      </c>
      <c r="CK20" s="106">
        <f>(IF(((SUM(AV38:AV40))=0)," ",(AVERAGE(AV38:AV40))))</f>
        <v>244.13404</v>
      </c>
      <c r="CL20" s="20"/>
      <c r="CM20" s="152">
        <f>(AVERAGE(AE35:AE41))</f>
        <v>0.002857142857142857</v>
      </c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3">
        <v>2054857</v>
      </c>
      <c r="D21" s="139">
        <f t="shared" si="0"/>
        <v>1.855</v>
      </c>
      <c r="E21" s="142">
        <v>3.4</v>
      </c>
      <c r="F21" s="143">
        <v>0.4</v>
      </c>
      <c r="G21" s="184" t="str">
        <f t="shared" si="1"/>
        <v>0.00</v>
      </c>
      <c r="H21" s="113">
        <v>0</v>
      </c>
      <c r="I21" s="114">
        <v>0</v>
      </c>
      <c r="K21" s="115" t="s">
        <v>213</v>
      </c>
      <c r="L21" s="113">
        <v>72</v>
      </c>
      <c r="M21" s="116">
        <v>0.17</v>
      </c>
      <c r="O21" s="117"/>
      <c r="Q21" s="257">
        <v>20</v>
      </c>
      <c r="R21" s="258">
        <v>0.25</v>
      </c>
      <c r="S21" s="263"/>
      <c r="U21" s="118">
        <v>7.2</v>
      </c>
      <c r="V21" s="119">
        <v>7</v>
      </c>
      <c r="W21" s="120">
        <v>6.7</v>
      </c>
      <c r="Y21" s="121">
        <v>18</v>
      </c>
      <c r="Z21" s="122">
        <v>18</v>
      </c>
      <c r="AA21" s="123">
        <v>20</v>
      </c>
      <c r="AC21" s="118">
        <v>6.5</v>
      </c>
      <c r="AD21" s="124">
        <v>0.01</v>
      </c>
      <c r="AE21" s="125">
        <v>0</v>
      </c>
      <c r="AG21" s="45">
        <f t="shared" si="2"/>
        <v>10</v>
      </c>
      <c r="AI21" s="126"/>
      <c r="AJ21" s="65">
        <f t="shared" si="3"/>
      </c>
      <c r="AK21" s="126"/>
      <c r="AL21" s="65">
        <f t="shared" si="4"/>
      </c>
      <c r="AM21" s="126"/>
      <c r="AN21" s="65">
        <f t="shared" si="5"/>
      </c>
      <c r="AO21" s="127"/>
      <c r="AQ21" s="128"/>
      <c r="AR21" s="65">
        <f t="shared" si="6"/>
      </c>
      <c r="AS21" s="126"/>
      <c r="AT21" s="65">
        <f t="shared" si="7"/>
      </c>
      <c r="AU21" s="126"/>
      <c r="AV21" s="65">
        <f t="shared" si="8"/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5">
        <v>2056763</v>
      </c>
      <c r="D22" s="138">
        <f t="shared" si="0"/>
        <v>1.906</v>
      </c>
      <c r="E22" s="140">
        <v>3.6</v>
      </c>
      <c r="F22" s="141">
        <v>0.4</v>
      </c>
      <c r="G22" s="81" t="str">
        <f t="shared" si="1"/>
        <v>0.00</v>
      </c>
      <c r="H22" s="85">
        <v>11100</v>
      </c>
      <c r="I22" s="86">
        <v>5750</v>
      </c>
      <c r="K22" s="87" t="s">
        <v>208</v>
      </c>
      <c r="L22" s="85">
        <v>73</v>
      </c>
      <c r="M22" s="88">
        <v>0.36</v>
      </c>
      <c r="O22" s="107"/>
      <c r="Q22" s="108">
        <v>21</v>
      </c>
      <c r="R22" s="153">
        <v>0.25</v>
      </c>
      <c r="S22" s="109"/>
      <c r="U22" s="93">
        <v>7.4</v>
      </c>
      <c r="V22" s="94">
        <v>7</v>
      </c>
      <c r="W22" s="95">
        <v>6.8</v>
      </c>
      <c r="Y22" s="90">
        <v>17</v>
      </c>
      <c r="Z22" s="96">
        <v>18</v>
      </c>
      <c r="AA22" s="92">
        <v>20</v>
      </c>
      <c r="AC22" s="93">
        <v>4.5</v>
      </c>
      <c r="AD22" s="91">
        <v>0.1</v>
      </c>
      <c r="AE22" s="97">
        <v>0</v>
      </c>
      <c r="AG22" s="45">
        <f t="shared" si="2"/>
        <v>11</v>
      </c>
      <c r="AI22" s="98"/>
      <c r="AJ22" s="55">
        <f t="shared" si="3"/>
      </c>
      <c r="AK22" s="98"/>
      <c r="AL22" s="55">
        <f t="shared" si="4"/>
      </c>
      <c r="AM22" s="98"/>
      <c r="AN22" s="55">
        <f t="shared" si="5"/>
      </c>
      <c r="AO22" s="110"/>
      <c r="AQ22" s="100"/>
      <c r="AR22" s="55">
        <f t="shared" si="6"/>
      </c>
      <c r="AS22" s="98"/>
      <c r="AT22" s="55">
        <f t="shared" si="7"/>
      </c>
      <c r="AU22" s="98"/>
      <c r="AV22" s="55">
        <f t="shared" si="8"/>
      </c>
      <c r="AX22" s="100">
        <v>58074</v>
      </c>
      <c r="AY22" s="101">
        <v>2</v>
      </c>
      <c r="AZ22" s="102">
        <v>3.5</v>
      </c>
      <c r="BA22" s="98">
        <v>37</v>
      </c>
      <c r="BB22" s="102">
        <v>29</v>
      </c>
      <c r="BC22" s="98">
        <v>24</v>
      </c>
      <c r="BD22" s="98">
        <v>1890</v>
      </c>
      <c r="BE22" s="103">
        <v>12.34</v>
      </c>
      <c r="BG22" s="100">
        <v>24</v>
      </c>
      <c r="BH22" s="84" t="s">
        <v>226</v>
      </c>
      <c r="BI22" s="104" t="s">
        <v>227</v>
      </c>
      <c r="BK22" s="17"/>
      <c r="BL22" s="19"/>
      <c r="BM22" s="56" t="s">
        <v>21</v>
      </c>
      <c r="BN22" s="20"/>
      <c r="BO22" s="57" t="s">
        <v>130</v>
      </c>
      <c r="BP22" s="26"/>
      <c r="BQ22" s="186">
        <f>(IF(((SUM(AV12:AV42))=0)," ",(AVERAGE(AV12:AV42))))</f>
        <v>267.1269923076923</v>
      </c>
      <c r="BR22" s="186">
        <f>MAX(AV12:AV42)</f>
        <v>350.44679999999994</v>
      </c>
      <c r="BS22" s="26" t="s">
        <v>126</v>
      </c>
      <c r="BT22" s="26"/>
      <c r="BU22" s="186">
        <f>(IF(((SUM(AU12:AU42))=0)," ",(AVERAGE(AU12:AU42))))</f>
        <v>16.615384615384617</v>
      </c>
      <c r="BV22" s="58">
        <f>(CJ23)</f>
        <v>19</v>
      </c>
      <c r="BW22" s="186">
        <f>MAX(AU12:AU42)</f>
        <v>20</v>
      </c>
      <c r="BX22" s="26" t="s">
        <v>128</v>
      </c>
      <c r="BY22" s="26"/>
      <c r="BZ22" s="26">
        <v>0</v>
      </c>
      <c r="CA22" s="267" t="s">
        <v>47</v>
      </c>
      <c r="CB22" s="26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5">
        <v>2058769</v>
      </c>
      <c r="D23" s="138">
        <f t="shared" si="0"/>
        <v>2.006</v>
      </c>
      <c r="E23" s="140">
        <v>4</v>
      </c>
      <c r="F23" s="141">
        <v>0.4</v>
      </c>
      <c r="G23" s="81" t="str">
        <f t="shared" si="1"/>
        <v>0.00</v>
      </c>
      <c r="H23" s="85">
        <v>9000</v>
      </c>
      <c r="I23" s="86">
        <v>7500</v>
      </c>
      <c r="K23" s="87" t="s">
        <v>208</v>
      </c>
      <c r="L23" s="85">
        <v>70</v>
      </c>
      <c r="M23" s="88">
        <v>0.06</v>
      </c>
      <c r="O23" s="107"/>
      <c r="Q23" s="108">
        <v>17</v>
      </c>
      <c r="R23" s="153">
        <v>0.28</v>
      </c>
      <c r="S23" s="109">
        <v>9</v>
      </c>
      <c r="U23" s="93">
        <v>7.3</v>
      </c>
      <c r="V23" s="94">
        <v>7.1</v>
      </c>
      <c r="W23" s="95">
        <v>6.8</v>
      </c>
      <c r="Y23" s="90">
        <v>18</v>
      </c>
      <c r="Z23" s="96">
        <v>18</v>
      </c>
      <c r="AA23" s="92">
        <v>20</v>
      </c>
      <c r="AC23" s="93">
        <v>8.5</v>
      </c>
      <c r="AD23" s="91">
        <v>0.01</v>
      </c>
      <c r="AE23" s="97">
        <v>0</v>
      </c>
      <c r="AG23" s="45">
        <f t="shared" si="2"/>
        <v>12</v>
      </c>
      <c r="AI23" s="98"/>
      <c r="AJ23" s="55">
        <f t="shared" si="3"/>
      </c>
      <c r="AK23" s="98"/>
      <c r="AL23" s="55">
        <f t="shared" si="4"/>
      </c>
      <c r="AM23" s="98"/>
      <c r="AN23" s="55">
        <f t="shared" si="5"/>
      </c>
      <c r="AO23" s="110"/>
      <c r="AQ23" s="100"/>
      <c r="AR23" s="55">
        <f t="shared" si="6"/>
      </c>
      <c r="AS23" s="98"/>
      <c r="AT23" s="55">
        <f t="shared" si="7"/>
      </c>
      <c r="AU23" s="98"/>
      <c r="AV23" s="55">
        <f t="shared" si="8"/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68">
        <v>963</v>
      </c>
      <c r="BR23" s="268">
        <v>1605</v>
      </c>
      <c r="BS23" s="155" t="s">
        <v>126</v>
      </c>
      <c r="BT23" s="26"/>
      <c r="BU23" s="268">
        <v>30</v>
      </c>
      <c r="BV23" s="269">
        <v>45</v>
      </c>
      <c r="BW23" s="268">
        <v>50</v>
      </c>
      <c r="BX23" s="155" t="s">
        <v>128</v>
      </c>
      <c r="BY23" s="26"/>
      <c r="BZ23" s="270" t="s">
        <v>150</v>
      </c>
      <c r="CA23" s="271" t="s">
        <v>47</v>
      </c>
      <c r="CB23" s="155">
        <v>24</v>
      </c>
      <c r="CC23" s="137"/>
      <c r="CE23" s="69"/>
      <c r="CF23" s="72" t="s">
        <v>53</v>
      </c>
      <c r="CG23" s="186">
        <f>(IF(((SUM(CG12:CG20))=0)," ",(MAX(CG12:CG20))))</f>
        <v>12</v>
      </c>
      <c r="CH23" s="186">
        <f>(IF(((SUM(CH12:CH20))=0)," ",(MAX(CH12:CH20))))</f>
        <v>204.9416</v>
      </c>
      <c r="CI23" s="186"/>
      <c r="CJ23" s="186">
        <f>(IF(((SUM(CJ12:CJ20))=0)," ",(MAX(CJ12:CJ20))))</f>
        <v>19</v>
      </c>
      <c r="CK23" s="186">
        <f>(IF(((SUM(CK12:CK20))=0)," ",(MAX(CK12:CK20))))</f>
        <v>324.32313999999997</v>
      </c>
      <c r="CL23" s="71"/>
      <c r="CM23" s="60">
        <f>(MAX(CM12:CM20))</f>
        <v>0.002857142857142857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5">
        <v>2060700</v>
      </c>
      <c r="D24" s="138">
        <f t="shared" si="0"/>
        <v>1.931</v>
      </c>
      <c r="E24" s="140">
        <v>4</v>
      </c>
      <c r="F24" s="141">
        <v>0.4</v>
      </c>
      <c r="G24" s="81" t="str">
        <f t="shared" si="1"/>
        <v>0.00</v>
      </c>
      <c r="H24" s="85">
        <v>2400</v>
      </c>
      <c r="I24" s="86">
        <v>9250</v>
      </c>
      <c r="K24" s="87" t="s">
        <v>208</v>
      </c>
      <c r="L24" s="85">
        <v>71</v>
      </c>
      <c r="M24" s="88">
        <v>0</v>
      </c>
      <c r="O24" s="107"/>
      <c r="Q24" s="108">
        <v>19</v>
      </c>
      <c r="R24" s="153">
        <v>0.31</v>
      </c>
      <c r="S24" s="109">
        <v>3</v>
      </c>
      <c r="U24" s="93">
        <v>7.2</v>
      </c>
      <c r="V24" s="94">
        <v>7.1</v>
      </c>
      <c r="W24" s="95">
        <v>6.7</v>
      </c>
      <c r="Y24" s="90">
        <v>18</v>
      </c>
      <c r="Z24" s="96">
        <v>18</v>
      </c>
      <c r="AA24" s="92">
        <v>20</v>
      </c>
      <c r="AC24" s="93">
        <v>14</v>
      </c>
      <c r="AD24" s="91">
        <v>0.01</v>
      </c>
      <c r="AE24" s="97">
        <v>0</v>
      </c>
      <c r="AG24" s="45">
        <f t="shared" si="2"/>
        <v>13</v>
      </c>
      <c r="AI24" s="98">
        <v>324</v>
      </c>
      <c r="AJ24" s="55">
        <f t="shared" si="3"/>
        <v>5217.87096</v>
      </c>
      <c r="AK24" s="98"/>
      <c r="AL24" s="55">
        <f t="shared" si="4"/>
      </c>
      <c r="AM24" s="98">
        <v>13</v>
      </c>
      <c r="AN24" s="55">
        <f t="shared" si="5"/>
        <v>209.35902000000002</v>
      </c>
      <c r="AO24" s="110">
        <v>10</v>
      </c>
      <c r="AQ24" s="100">
        <v>282</v>
      </c>
      <c r="AR24" s="55">
        <f t="shared" si="6"/>
        <v>4541.48028</v>
      </c>
      <c r="AS24" s="98"/>
      <c r="AT24" s="55">
        <f t="shared" si="7"/>
      </c>
      <c r="AU24" s="98">
        <v>15</v>
      </c>
      <c r="AV24" s="55">
        <f t="shared" si="8"/>
        <v>241.5681</v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5">
        <v>2062654</v>
      </c>
      <c r="D25" s="138">
        <f t="shared" si="0"/>
        <v>1.954</v>
      </c>
      <c r="E25" s="140">
        <v>4</v>
      </c>
      <c r="F25" s="141">
        <v>0.4</v>
      </c>
      <c r="G25" s="81" t="str">
        <f t="shared" si="1"/>
        <v>0.00</v>
      </c>
      <c r="H25" s="85">
        <v>100</v>
      </c>
      <c r="I25" s="86">
        <v>6250</v>
      </c>
      <c r="K25" s="87" t="s">
        <v>210</v>
      </c>
      <c r="L25" s="85">
        <v>75</v>
      </c>
      <c r="M25" s="88">
        <v>0.01</v>
      </c>
      <c r="O25" s="107"/>
      <c r="Q25" s="108">
        <v>20</v>
      </c>
      <c r="R25" s="153">
        <v>0.31</v>
      </c>
      <c r="S25" s="109">
        <v>28</v>
      </c>
      <c r="U25" s="93">
        <v>7.2</v>
      </c>
      <c r="V25" s="94">
        <v>7</v>
      </c>
      <c r="W25" s="95">
        <v>6.7</v>
      </c>
      <c r="Y25" s="90">
        <v>18</v>
      </c>
      <c r="Z25" s="96">
        <v>19</v>
      </c>
      <c r="AA25" s="92">
        <v>20</v>
      </c>
      <c r="AC25" s="93">
        <v>5</v>
      </c>
      <c r="AD25" s="91">
        <v>0</v>
      </c>
      <c r="AE25" s="97">
        <v>0</v>
      </c>
      <c r="AG25" s="45">
        <f t="shared" si="2"/>
        <v>14</v>
      </c>
      <c r="AI25" s="98">
        <v>364</v>
      </c>
      <c r="AJ25" s="55">
        <f t="shared" si="3"/>
        <v>5931.87504</v>
      </c>
      <c r="AK25" s="98"/>
      <c r="AL25" s="55">
        <f t="shared" si="4"/>
      </c>
      <c r="AM25" s="98">
        <v>11</v>
      </c>
      <c r="AN25" s="55">
        <f t="shared" si="5"/>
        <v>179.25996</v>
      </c>
      <c r="AO25" s="110">
        <v>8</v>
      </c>
      <c r="AQ25" s="100">
        <v>438</v>
      </c>
      <c r="AR25" s="55">
        <f t="shared" si="6"/>
        <v>7137.8056799999995</v>
      </c>
      <c r="AS25" s="98"/>
      <c r="AT25" s="55">
        <f t="shared" si="7"/>
      </c>
      <c r="AU25" s="98">
        <v>15</v>
      </c>
      <c r="AV25" s="55">
        <f t="shared" si="8"/>
        <v>244.44539999999998</v>
      </c>
      <c r="AX25" s="100">
        <v>53329</v>
      </c>
      <c r="AY25" s="101">
        <v>3</v>
      </c>
      <c r="AZ25" s="102">
        <v>3</v>
      </c>
      <c r="BA25" s="98">
        <v>37.2</v>
      </c>
      <c r="BB25" s="102">
        <v>34</v>
      </c>
      <c r="BC25" s="98">
        <v>24</v>
      </c>
      <c r="BD25" s="98">
        <v>1710</v>
      </c>
      <c r="BE25" s="103">
        <v>12.36</v>
      </c>
      <c r="BG25" s="100">
        <v>24</v>
      </c>
      <c r="BH25" s="84" t="s">
        <v>226</v>
      </c>
      <c r="BI25" s="104" t="s">
        <v>227</v>
      </c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3">
        <v>2064570</v>
      </c>
      <c r="D26" s="139">
        <f t="shared" si="0"/>
        <v>1.916</v>
      </c>
      <c r="E26" s="142">
        <v>3.4</v>
      </c>
      <c r="F26" s="143">
        <v>0.4</v>
      </c>
      <c r="G26" s="184" t="str">
        <f t="shared" si="1"/>
        <v>0.00</v>
      </c>
      <c r="H26" s="113">
        <v>3600</v>
      </c>
      <c r="I26" s="114">
        <v>9500</v>
      </c>
      <c r="K26" s="115" t="s">
        <v>210</v>
      </c>
      <c r="L26" s="113">
        <v>70</v>
      </c>
      <c r="M26" s="116">
        <v>0</v>
      </c>
      <c r="O26" s="117"/>
      <c r="Q26" s="257">
        <v>22</v>
      </c>
      <c r="R26" s="258">
        <v>0.36</v>
      </c>
      <c r="S26" s="263"/>
      <c r="U26" s="118">
        <v>7.2</v>
      </c>
      <c r="V26" s="119">
        <v>7</v>
      </c>
      <c r="W26" s="120">
        <v>6.9</v>
      </c>
      <c r="Y26" s="121">
        <v>18</v>
      </c>
      <c r="Z26" s="122">
        <v>18</v>
      </c>
      <c r="AA26" s="123">
        <v>19</v>
      </c>
      <c r="AC26" s="118">
        <v>6</v>
      </c>
      <c r="AD26" s="124">
        <v>0.1</v>
      </c>
      <c r="AE26" s="125">
        <v>0</v>
      </c>
      <c r="AG26" s="45">
        <f t="shared" si="2"/>
        <v>15</v>
      </c>
      <c r="AI26" s="126">
        <v>333</v>
      </c>
      <c r="AJ26" s="65">
        <f t="shared" si="3"/>
        <v>5321.15352</v>
      </c>
      <c r="AK26" s="126">
        <v>177</v>
      </c>
      <c r="AL26" s="65">
        <f t="shared" si="4"/>
        <v>2828.36088</v>
      </c>
      <c r="AM26" s="126">
        <v>12</v>
      </c>
      <c r="AN26" s="65">
        <f t="shared" si="5"/>
        <v>191.75327999999996</v>
      </c>
      <c r="AO26" s="127">
        <v>7</v>
      </c>
      <c r="AQ26" s="128">
        <v>418</v>
      </c>
      <c r="AR26" s="65">
        <f t="shared" si="6"/>
        <v>6679.405919999999</v>
      </c>
      <c r="AS26" s="126">
        <v>121</v>
      </c>
      <c r="AT26" s="65">
        <f t="shared" si="7"/>
        <v>1933.5122399999998</v>
      </c>
      <c r="AU26" s="126">
        <v>16</v>
      </c>
      <c r="AV26" s="65">
        <f t="shared" si="8"/>
        <v>255.67103999999998</v>
      </c>
      <c r="AX26" s="128"/>
      <c r="AY26" s="129"/>
      <c r="AZ26" s="130"/>
      <c r="BA26" s="126"/>
      <c r="BB26" s="130"/>
      <c r="BC26" s="126"/>
      <c r="BD26" s="126"/>
      <c r="BE26" s="131"/>
      <c r="BG26" s="128"/>
      <c r="BH26" s="111"/>
      <c r="BI26" s="132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5">
        <v>2066464</v>
      </c>
      <c r="D27" s="138">
        <f t="shared" si="0"/>
        <v>1.894</v>
      </c>
      <c r="E27" s="140">
        <v>3.4</v>
      </c>
      <c r="F27" s="141">
        <v>0.4</v>
      </c>
      <c r="G27" s="81" t="str">
        <f t="shared" si="1"/>
        <v>0.00</v>
      </c>
      <c r="H27" s="85">
        <v>1000</v>
      </c>
      <c r="I27" s="86">
        <v>6000</v>
      </c>
      <c r="K27" s="87" t="s">
        <v>210</v>
      </c>
      <c r="L27" s="85">
        <v>73</v>
      </c>
      <c r="M27" s="88">
        <v>0</v>
      </c>
      <c r="O27" s="107"/>
      <c r="Q27" s="108">
        <v>20</v>
      </c>
      <c r="R27" s="153">
        <v>0.17</v>
      </c>
      <c r="S27" s="109"/>
      <c r="U27" s="93">
        <v>7</v>
      </c>
      <c r="V27" s="94">
        <v>7</v>
      </c>
      <c r="W27" s="95">
        <v>6.7</v>
      </c>
      <c r="Y27" s="90">
        <v>18</v>
      </c>
      <c r="Z27" s="96">
        <v>18</v>
      </c>
      <c r="AA27" s="92">
        <v>19</v>
      </c>
      <c r="AC27" s="93">
        <v>4.5</v>
      </c>
      <c r="AD27" s="91">
        <v>0.1</v>
      </c>
      <c r="AE27" s="97">
        <v>0</v>
      </c>
      <c r="AG27" s="45">
        <f t="shared" si="2"/>
        <v>16</v>
      </c>
      <c r="AI27" s="98"/>
      <c r="AJ27" s="55">
        <f t="shared" si="3"/>
      </c>
      <c r="AK27" s="98"/>
      <c r="AL27" s="55">
        <f t="shared" si="4"/>
      </c>
      <c r="AM27" s="98"/>
      <c r="AN27" s="55">
        <f t="shared" si="5"/>
      </c>
      <c r="AO27" s="110"/>
      <c r="AQ27" s="100"/>
      <c r="AR27" s="55">
        <f t="shared" si="6"/>
      </c>
      <c r="AS27" s="98"/>
      <c r="AT27" s="55">
        <f t="shared" si="7"/>
      </c>
      <c r="AU27" s="98"/>
      <c r="AV27" s="55">
        <f t="shared" si="8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5">
        <v>2068240</v>
      </c>
      <c r="D28" s="138">
        <f t="shared" si="0"/>
        <v>1.776</v>
      </c>
      <c r="E28" s="140">
        <v>3.4</v>
      </c>
      <c r="F28" s="141">
        <v>0.4</v>
      </c>
      <c r="G28" s="81" t="str">
        <f t="shared" si="1"/>
        <v>0.00</v>
      </c>
      <c r="H28" s="85">
        <v>0</v>
      </c>
      <c r="I28" s="86">
        <v>3000</v>
      </c>
      <c r="K28" s="87" t="s">
        <v>210</v>
      </c>
      <c r="L28" s="85">
        <v>70</v>
      </c>
      <c r="M28" s="88">
        <v>0</v>
      </c>
      <c r="O28" s="107"/>
      <c r="Q28" s="108">
        <v>19</v>
      </c>
      <c r="R28" s="153">
        <v>0.24</v>
      </c>
      <c r="S28" s="109"/>
      <c r="U28" s="93">
        <v>7.3</v>
      </c>
      <c r="V28" s="94">
        <v>7</v>
      </c>
      <c r="W28" s="95">
        <v>6.8</v>
      </c>
      <c r="Y28" s="90">
        <v>17</v>
      </c>
      <c r="Z28" s="96">
        <v>18</v>
      </c>
      <c r="AA28" s="92">
        <v>20</v>
      </c>
      <c r="AC28" s="93">
        <v>5.5</v>
      </c>
      <c r="AD28" s="91">
        <v>0.1</v>
      </c>
      <c r="AE28" s="97">
        <v>0</v>
      </c>
      <c r="AG28" s="45">
        <f t="shared" si="2"/>
        <v>17</v>
      </c>
      <c r="AI28" s="98"/>
      <c r="AJ28" s="55">
        <f t="shared" si="3"/>
      </c>
      <c r="AK28" s="98"/>
      <c r="AL28" s="55">
        <f t="shared" si="4"/>
      </c>
      <c r="AM28" s="98"/>
      <c r="AN28" s="55">
        <f t="shared" si="5"/>
      </c>
      <c r="AO28" s="110"/>
      <c r="AQ28" s="100"/>
      <c r="AR28" s="55">
        <f t="shared" si="6"/>
      </c>
      <c r="AS28" s="98"/>
      <c r="AT28" s="55">
        <f t="shared" si="7"/>
      </c>
      <c r="AU28" s="98"/>
      <c r="AV28" s="55">
        <f t="shared" si="8"/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72" t="s">
        <v>150</v>
      </c>
      <c r="BR28" s="272" t="s">
        <v>150</v>
      </c>
      <c r="BS28" s="272" t="s">
        <v>150</v>
      </c>
      <c r="BT28" s="272"/>
      <c r="BU28" s="272" t="s">
        <v>150</v>
      </c>
      <c r="BV28" s="71">
        <f>(CM23)</f>
        <v>0.002857142857142857</v>
      </c>
      <c r="BW28" s="71">
        <f>MAX(AE12:AE42)</f>
        <v>0.01</v>
      </c>
      <c r="BX28" s="26" t="s">
        <v>128</v>
      </c>
      <c r="BY28" s="26"/>
      <c r="BZ28" s="26">
        <v>0</v>
      </c>
      <c r="CA28" s="267" t="s">
        <v>48</v>
      </c>
      <c r="CB28" s="26" t="s">
        <v>23</v>
      </c>
      <c r="CC28" s="137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5">
        <v>2070030</v>
      </c>
      <c r="D29" s="138">
        <f t="shared" si="0"/>
        <v>1.79</v>
      </c>
      <c r="E29" s="140">
        <v>3.4</v>
      </c>
      <c r="F29" s="141">
        <v>0.4</v>
      </c>
      <c r="G29" s="81" t="str">
        <f t="shared" si="1"/>
        <v>0.00</v>
      </c>
      <c r="H29" s="85">
        <v>3300</v>
      </c>
      <c r="I29" s="86">
        <v>5500</v>
      </c>
      <c r="K29" s="87" t="s">
        <v>210</v>
      </c>
      <c r="L29" s="85">
        <v>68</v>
      </c>
      <c r="M29" s="88">
        <v>0</v>
      </c>
      <c r="O29" s="107"/>
      <c r="Q29" s="108">
        <v>19</v>
      </c>
      <c r="R29" s="153">
        <v>0.26</v>
      </c>
      <c r="S29" s="109"/>
      <c r="U29" s="93">
        <v>7.3</v>
      </c>
      <c r="V29" s="94">
        <v>6.9</v>
      </c>
      <c r="W29" s="95">
        <v>6.7</v>
      </c>
      <c r="Y29" s="90">
        <v>18</v>
      </c>
      <c r="Z29" s="96">
        <v>18</v>
      </c>
      <c r="AA29" s="92">
        <v>20</v>
      </c>
      <c r="AC29" s="93">
        <v>9</v>
      </c>
      <c r="AD29" s="91">
        <v>0.01</v>
      </c>
      <c r="AE29" s="97">
        <v>0</v>
      </c>
      <c r="AG29" s="45">
        <f t="shared" si="2"/>
        <v>18</v>
      </c>
      <c r="AI29" s="98"/>
      <c r="AJ29" s="55">
        <f t="shared" si="3"/>
      </c>
      <c r="AK29" s="98"/>
      <c r="AL29" s="55">
        <f t="shared" si="4"/>
      </c>
      <c r="AM29" s="98"/>
      <c r="AN29" s="55">
        <f t="shared" si="5"/>
      </c>
      <c r="AO29" s="110"/>
      <c r="AQ29" s="100"/>
      <c r="AR29" s="55">
        <f t="shared" si="6"/>
      </c>
      <c r="AS29" s="98"/>
      <c r="AT29" s="55">
        <f t="shared" si="7"/>
      </c>
      <c r="AU29" s="98"/>
      <c r="AV29" s="55">
        <f t="shared" si="8"/>
      </c>
      <c r="AX29" s="100">
        <v>46993</v>
      </c>
      <c r="AY29" s="101">
        <v>4</v>
      </c>
      <c r="AZ29" s="102">
        <v>3.25</v>
      </c>
      <c r="BA29" s="98">
        <v>27.9</v>
      </c>
      <c r="BB29" s="102">
        <v>31</v>
      </c>
      <c r="BC29" s="98">
        <v>24</v>
      </c>
      <c r="BD29" s="98">
        <v>2145</v>
      </c>
      <c r="BE29" s="103">
        <v>12.16</v>
      </c>
      <c r="BG29" s="100">
        <v>24</v>
      </c>
      <c r="BH29" s="84" t="s">
        <v>226</v>
      </c>
      <c r="BI29" s="104" t="s">
        <v>227</v>
      </c>
      <c r="BK29" s="17"/>
      <c r="BL29" s="19"/>
      <c r="BM29" s="26" t="s">
        <v>86</v>
      </c>
      <c r="BN29" s="20"/>
      <c r="BO29" s="154" t="s">
        <v>131</v>
      </c>
      <c r="BP29" s="26"/>
      <c r="BQ29" s="270" t="s">
        <v>150</v>
      </c>
      <c r="BR29" s="270" t="s">
        <v>150</v>
      </c>
      <c r="BS29" s="270" t="s">
        <v>150</v>
      </c>
      <c r="BT29" s="272"/>
      <c r="BU29" s="270" t="s">
        <v>150</v>
      </c>
      <c r="BV29" s="155" t="s">
        <v>146</v>
      </c>
      <c r="BW29" s="155">
        <v>0.3</v>
      </c>
      <c r="BX29" s="155" t="s">
        <v>128</v>
      </c>
      <c r="BY29" s="26"/>
      <c r="BZ29" s="270" t="s">
        <v>150</v>
      </c>
      <c r="CA29" s="271" t="s">
        <v>48</v>
      </c>
      <c r="CB29" s="155" t="s">
        <v>23</v>
      </c>
      <c r="CC29" s="137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5">
        <v>2071918</v>
      </c>
      <c r="D30" s="138">
        <f t="shared" si="0"/>
        <v>1.888</v>
      </c>
      <c r="E30" s="140">
        <v>3.4</v>
      </c>
      <c r="F30" s="141">
        <v>0.4</v>
      </c>
      <c r="G30" s="81" t="str">
        <f t="shared" si="1"/>
        <v>0.00</v>
      </c>
      <c r="H30" s="85">
        <v>3200</v>
      </c>
      <c r="I30" s="86">
        <v>9500</v>
      </c>
      <c r="K30" s="87" t="s">
        <v>210</v>
      </c>
      <c r="L30" s="85">
        <v>72</v>
      </c>
      <c r="M30" s="88">
        <v>0</v>
      </c>
      <c r="O30" s="107"/>
      <c r="Q30" s="108">
        <v>19</v>
      </c>
      <c r="R30" s="153">
        <v>0.27</v>
      </c>
      <c r="S30" s="109">
        <v>11</v>
      </c>
      <c r="U30" s="93">
        <v>7.4</v>
      </c>
      <c r="V30" s="94">
        <v>7.1</v>
      </c>
      <c r="W30" s="95">
        <v>6.9</v>
      </c>
      <c r="Y30" s="90">
        <v>18</v>
      </c>
      <c r="Z30" s="96">
        <v>18</v>
      </c>
      <c r="AA30" s="92">
        <v>20</v>
      </c>
      <c r="AC30" s="93">
        <v>12</v>
      </c>
      <c r="AD30" s="91">
        <v>0</v>
      </c>
      <c r="AE30" s="97">
        <v>0</v>
      </c>
      <c r="AG30" s="45">
        <f t="shared" si="2"/>
        <v>19</v>
      </c>
      <c r="AI30" s="98"/>
      <c r="AJ30" s="55">
        <f t="shared" si="3"/>
      </c>
      <c r="AK30" s="98"/>
      <c r="AL30" s="55">
        <f t="shared" si="4"/>
      </c>
      <c r="AM30" s="98"/>
      <c r="AN30" s="55">
        <f t="shared" si="5"/>
      </c>
      <c r="AO30" s="110"/>
      <c r="AQ30" s="100"/>
      <c r="AR30" s="55">
        <f t="shared" si="6"/>
      </c>
      <c r="AS30" s="98"/>
      <c r="AT30" s="55">
        <f t="shared" si="7"/>
      </c>
      <c r="AU30" s="98"/>
      <c r="AV30" s="55">
        <f t="shared" si="8"/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3">
        <v>2073744</v>
      </c>
      <c r="D31" s="139">
        <f t="shared" si="0"/>
        <v>1.826</v>
      </c>
      <c r="E31" s="142">
        <v>3.5</v>
      </c>
      <c r="F31" s="143">
        <v>0.4</v>
      </c>
      <c r="G31" s="184" t="str">
        <f t="shared" si="1"/>
        <v>0.00</v>
      </c>
      <c r="H31" s="113">
        <v>5400</v>
      </c>
      <c r="I31" s="114">
        <v>5500</v>
      </c>
      <c r="K31" s="115" t="s">
        <v>210</v>
      </c>
      <c r="L31" s="113">
        <v>74</v>
      </c>
      <c r="M31" s="116">
        <v>0</v>
      </c>
      <c r="O31" s="117"/>
      <c r="Q31" s="257">
        <v>18</v>
      </c>
      <c r="R31" s="258">
        <v>0.26</v>
      </c>
      <c r="S31" s="263">
        <v>7</v>
      </c>
      <c r="U31" s="118">
        <v>7.1</v>
      </c>
      <c r="V31" s="119">
        <v>7</v>
      </c>
      <c r="W31" s="120">
        <v>6.8</v>
      </c>
      <c r="Y31" s="121">
        <v>18</v>
      </c>
      <c r="Z31" s="122">
        <v>18</v>
      </c>
      <c r="AA31" s="123">
        <v>20</v>
      </c>
      <c r="AC31" s="118">
        <v>8</v>
      </c>
      <c r="AD31" s="124">
        <v>0.01</v>
      </c>
      <c r="AE31" s="125">
        <v>0</v>
      </c>
      <c r="AG31" s="45">
        <f t="shared" si="2"/>
        <v>20</v>
      </c>
      <c r="AI31" s="126">
        <v>320</v>
      </c>
      <c r="AJ31" s="65">
        <f t="shared" si="3"/>
        <v>4873.228800000001</v>
      </c>
      <c r="AK31" s="126"/>
      <c r="AL31" s="65">
        <f t="shared" si="4"/>
      </c>
      <c r="AM31" s="126">
        <v>8</v>
      </c>
      <c r="AN31" s="65">
        <f t="shared" si="5"/>
        <v>121.83072</v>
      </c>
      <c r="AO31" s="127"/>
      <c r="AQ31" s="128">
        <v>284</v>
      </c>
      <c r="AR31" s="65">
        <f t="shared" si="6"/>
        <v>4324.99056</v>
      </c>
      <c r="AS31" s="126"/>
      <c r="AT31" s="65">
        <f t="shared" si="7"/>
      </c>
      <c r="AU31" s="126">
        <v>15</v>
      </c>
      <c r="AV31" s="65">
        <f t="shared" si="8"/>
        <v>228.4326</v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5">
        <v>2075625</v>
      </c>
      <c r="D32" s="138">
        <f t="shared" si="0"/>
        <v>1.881</v>
      </c>
      <c r="E32" s="140">
        <v>3.5</v>
      </c>
      <c r="F32" s="141">
        <v>0.4</v>
      </c>
      <c r="G32" s="81" t="str">
        <f t="shared" si="1"/>
        <v>0.00</v>
      </c>
      <c r="H32" s="85">
        <v>9600</v>
      </c>
      <c r="I32" s="86">
        <v>3000</v>
      </c>
      <c r="K32" s="87" t="s">
        <v>210</v>
      </c>
      <c r="L32" s="85">
        <v>75</v>
      </c>
      <c r="M32" s="88">
        <v>0</v>
      </c>
      <c r="O32" s="107"/>
      <c r="Q32" s="108">
        <v>19</v>
      </c>
      <c r="R32" s="153">
        <v>0.31</v>
      </c>
      <c r="S32" s="109">
        <v>416</v>
      </c>
      <c r="U32" s="93">
        <v>7.2</v>
      </c>
      <c r="V32" s="94">
        <v>7</v>
      </c>
      <c r="W32" s="95">
        <v>6.6</v>
      </c>
      <c r="Y32" s="90">
        <v>19</v>
      </c>
      <c r="Z32" s="96">
        <v>19</v>
      </c>
      <c r="AA32" s="92">
        <v>20</v>
      </c>
      <c r="AC32" s="93">
        <v>10</v>
      </c>
      <c r="AD32" s="91">
        <v>0.01</v>
      </c>
      <c r="AE32" s="97">
        <v>0</v>
      </c>
      <c r="AG32" s="45">
        <f t="shared" si="2"/>
        <v>21</v>
      </c>
      <c r="AI32" s="98">
        <v>284</v>
      </c>
      <c r="AJ32" s="55">
        <f t="shared" si="3"/>
        <v>4455.2613599999995</v>
      </c>
      <c r="AK32" s="98"/>
      <c r="AL32" s="55">
        <f t="shared" si="4"/>
      </c>
      <c r="AM32" s="98">
        <v>8</v>
      </c>
      <c r="AN32" s="55">
        <f t="shared" si="5"/>
        <v>125.50032</v>
      </c>
      <c r="AO32" s="110">
        <v>6</v>
      </c>
      <c r="AQ32" s="100">
        <v>264</v>
      </c>
      <c r="AR32" s="55">
        <f t="shared" si="6"/>
        <v>4141.51056</v>
      </c>
      <c r="AS32" s="98"/>
      <c r="AT32" s="55">
        <f t="shared" si="7"/>
      </c>
      <c r="AU32" s="98">
        <v>17</v>
      </c>
      <c r="AV32" s="55">
        <f t="shared" si="8"/>
        <v>266.68818</v>
      </c>
      <c r="AX32" s="100">
        <v>46023</v>
      </c>
      <c r="AY32" s="101">
        <v>4</v>
      </c>
      <c r="AZ32" s="102">
        <v>3</v>
      </c>
      <c r="BA32" s="98">
        <v>40.3</v>
      </c>
      <c r="BB32" s="102">
        <v>35</v>
      </c>
      <c r="BC32" s="98">
        <v>24</v>
      </c>
      <c r="BD32" s="98">
        <v>2070</v>
      </c>
      <c r="BE32" s="103">
        <v>12.2</v>
      </c>
      <c r="BG32" s="100">
        <v>24</v>
      </c>
      <c r="BH32" s="84" t="s">
        <v>226</v>
      </c>
      <c r="BI32" s="104" t="s">
        <v>227</v>
      </c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5">
        <v>2077520</v>
      </c>
      <c r="D33" s="138">
        <f t="shared" si="0"/>
        <v>1.895</v>
      </c>
      <c r="E33" s="140">
        <v>3.4</v>
      </c>
      <c r="F33" s="141">
        <v>0.4</v>
      </c>
      <c r="G33" s="81" t="str">
        <f t="shared" si="1"/>
        <v>0.00</v>
      </c>
      <c r="H33" s="85">
        <v>0</v>
      </c>
      <c r="I33" s="86">
        <v>10000</v>
      </c>
      <c r="K33" s="87" t="s">
        <v>210</v>
      </c>
      <c r="L33" s="85">
        <v>76</v>
      </c>
      <c r="M33" s="88">
        <v>0</v>
      </c>
      <c r="O33" s="107"/>
      <c r="Q33" s="108">
        <v>20</v>
      </c>
      <c r="R33" s="153">
        <v>0.24</v>
      </c>
      <c r="S33" s="109"/>
      <c r="U33" s="93">
        <v>7.4</v>
      </c>
      <c r="V33" s="94">
        <v>7.1</v>
      </c>
      <c r="W33" s="95">
        <v>6.9</v>
      </c>
      <c r="Y33" s="90">
        <v>19</v>
      </c>
      <c r="Z33" s="96">
        <v>19</v>
      </c>
      <c r="AA33" s="92">
        <v>20</v>
      </c>
      <c r="AC33" s="93">
        <v>13</v>
      </c>
      <c r="AD33" s="91">
        <v>0.01</v>
      </c>
      <c r="AE33" s="97">
        <v>0</v>
      </c>
      <c r="AG33" s="45">
        <f t="shared" si="2"/>
        <v>22</v>
      </c>
      <c r="AI33" s="98">
        <v>286</v>
      </c>
      <c r="AJ33" s="55">
        <f t="shared" si="3"/>
        <v>4520.0298</v>
      </c>
      <c r="AK33" s="98">
        <v>169</v>
      </c>
      <c r="AL33" s="55">
        <f t="shared" si="4"/>
        <v>2670.9267</v>
      </c>
      <c r="AM33" s="98">
        <v>8</v>
      </c>
      <c r="AN33" s="55">
        <f t="shared" si="5"/>
        <v>126.4344</v>
      </c>
      <c r="AO33" s="110">
        <v>6</v>
      </c>
      <c r="AQ33" s="100">
        <v>288</v>
      </c>
      <c r="AR33" s="55">
        <f t="shared" si="6"/>
        <v>4551.6384</v>
      </c>
      <c r="AS33" s="98">
        <v>106</v>
      </c>
      <c r="AT33" s="55">
        <f t="shared" si="7"/>
        <v>1675.2558</v>
      </c>
      <c r="AU33" s="98">
        <v>16</v>
      </c>
      <c r="AV33" s="55">
        <f t="shared" si="8"/>
        <v>252.8688</v>
      </c>
      <c r="AX33" s="100"/>
      <c r="AY33" s="101"/>
      <c r="AZ33" s="102"/>
      <c r="BA33" s="98"/>
      <c r="BB33" s="102"/>
      <c r="BC33" s="98"/>
      <c r="BD33" s="98"/>
      <c r="BE33" s="103"/>
      <c r="BG33" s="100"/>
      <c r="BH33" s="84"/>
      <c r="BI33" s="104"/>
      <c r="BK33" s="17"/>
      <c r="BL33" s="19"/>
      <c r="BM33" s="56" t="s">
        <v>1</v>
      </c>
      <c r="BN33" s="20"/>
      <c r="BO33" s="57" t="s">
        <v>130</v>
      </c>
      <c r="BP33" s="26"/>
      <c r="BQ33" s="274">
        <f>(D47)</f>
        <v>1.9126129032258066</v>
      </c>
      <c r="BR33" s="274">
        <f>(D45)</f>
        <v>2.134</v>
      </c>
      <c r="BS33" s="26" t="s">
        <v>127</v>
      </c>
      <c r="BT33" s="26"/>
      <c r="BU33" s="272" t="s">
        <v>150</v>
      </c>
      <c r="BV33" s="272" t="s">
        <v>150</v>
      </c>
      <c r="BW33" s="272" t="s">
        <v>150</v>
      </c>
      <c r="BX33" s="272" t="s">
        <v>150</v>
      </c>
      <c r="BY33" s="26"/>
      <c r="BZ33" s="26">
        <v>0</v>
      </c>
      <c r="CA33" s="75" t="s">
        <v>24</v>
      </c>
      <c r="CB33" s="26" t="s">
        <v>25</v>
      </c>
      <c r="CC33" s="137"/>
      <c r="CJ33" s="326" t="s">
        <v>17</v>
      </c>
      <c r="CK33" s="328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5">
        <v>2079367</v>
      </c>
      <c r="D34" s="138">
        <f t="shared" si="0"/>
        <v>1.847</v>
      </c>
      <c r="E34" s="140">
        <v>3.4</v>
      </c>
      <c r="F34" s="141">
        <v>0.4</v>
      </c>
      <c r="G34" s="81" t="str">
        <f t="shared" si="1"/>
        <v>0.00</v>
      </c>
      <c r="H34" s="85">
        <v>0</v>
      </c>
      <c r="I34" s="86">
        <v>1000</v>
      </c>
      <c r="K34" s="87" t="s">
        <v>210</v>
      </c>
      <c r="L34" s="85">
        <v>69</v>
      </c>
      <c r="M34" s="88">
        <v>0</v>
      </c>
      <c r="O34" s="107"/>
      <c r="Q34" s="108">
        <v>38</v>
      </c>
      <c r="R34" s="153">
        <v>0.37</v>
      </c>
      <c r="S34" s="109"/>
      <c r="U34" s="93">
        <v>7.3</v>
      </c>
      <c r="V34" s="94">
        <v>7</v>
      </c>
      <c r="W34" s="95">
        <v>6.7</v>
      </c>
      <c r="Y34" s="90">
        <v>17</v>
      </c>
      <c r="Z34" s="96">
        <v>19</v>
      </c>
      <c r="AA34" s="92">
        <v>20</v>
      </c>
      <c r="AC34" s="93">
        <v>5</v>
      </c>
      <c r="AD34" s="91">
        <v>0.01</v>
      </c>
      <c r="AE34" s="97">
        <v>0.01</v>
      </c>
      <c r="AG34" s="45">
        <f t="shared" si="2"/>
        <v>23</v>
      </c>
      <c r="AI34" s="98"/>
      <c r="AJ34" s="55">
        <f t="shared" si="3"/>
      </c>
      <c r="AK34" s="98"/>
      <c r="AL34" s="55">
        <f t="shared" si="4"/>
      </c>
      <c r="AM34" s="98"/>
      <c r="AN34" s="55">
        <f t="shared" si="5"/>
      </c>
      <c r="AO34" s="110"/>
      <c r="AQ34" s="100"/>
      <c r="AR34" s="55">
        <f t="shared" si="6"/>
      </c>
      <c r="AS34" s="98"/>
      <c r="AT34" s="55">
        <f t="shared" si="7"/>
      </c>
      <c r="AU34" s="98"/>
      <c r="AV34" s="55">
        <f t="shared" si="8"/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275">
        <v>3.85</v>
      </c>
      <c r="BR34" s="155" t="s">
        <v>146</v>
      </c>
      <c r="BS34" s="155" t="s">
        <v>127</v>
      </c>
      <c r="BT34" s="26"/>
      <c r="BU34" s="270" t="s">
        <v>150</v>
      </c>
      <c r="BV34" s="270" t="s">
        <v>150</v>
      </c>
      <c r="BW34" s="270" t="s">
        <v>150</v>
      </c>
      <c r="BX34" s="270" t="s">
        <v>150</v>
      </c>
      <c r="BY34" s="26"/>
      <c r="BZ34" s="270" t="s">
        <v>150</v>
      </c>
      <c r="CA34" s="276" t="s">
        <v>24</v>
      </c>
      <c r="CB34" s="155" t="s">
        <v>25</v>
      </c>
      <c r="CC34" s="137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5">
        <v>2081142</v>
      </c>
      <c r="D35" s="138">
        <f t="shared" si="0"/>
        <v>1.775</v>
      </c>
      <c r="E35" s="140">
        <v>3.2</v>
      </c>
      <c r="F35" s="141">
        <v>0.4</v>
      </c>
      <c r="G35" s="81" t="str">
        <f t="shared" si="1"/>
        <v>0.00</v>
      </c>
      <c r="H35" s="85">
        <v>1800</v>
      </c>
      <c r="I35" s="86">
        <v>1000</v>
      </c>
      <c r="K35" s="87" t="s">
        <v>210</v>
      </c>
      <c r="L35" s="85">
        <v>61</v>
      </c>
      <c r="M35" s="88">
        <v>0</v>
      </c>
      <c r="O35" s="107"/>
      <c r="Q35" s="108">
        <v>16</v>
      </c>
      <c r="R35" s="153">
        <v>0.2</v>
      </c>
      <c r="S35" s="109"/>
      <c r="U35" s="93">
        <v>7.4</v>
      </c>
      <c r="V35" s="94">
        <v>7</v>
      </c>
      <c r="W35" s="95">
        <v>6.7</v>
      </c>
      <c r="Y35" s="90">
        <v>17</v>
      </c>
      <c r="Z35" s="96">
        <v>18</v>
      </c>
      <c r="AA35" s="92">
        <v>18</v>
      </c>
      <c r="AC35" s="93">
        <v>4.5</v>
      </c>
      <c r="AD35" s="91">
        <v>0.01</v>
      </c>
      <c r="AE35" s="97">
        <v>0.01</v>
      </c>
      <c r="AG35" s="45">
        <f t="shared" si="2"/>
        <v>24</v>
      </c>
      <c r="AI35" s="98"/>
      <c r="AJ35" s="55">
        <f t="shared" si="3"/>
      </c>
      <c r="AK35" s="98"/>
      <c r="AL35" s="55">
        <f t="shared" si="4"/>
      </c>
      <c r="AM35" s="98"/>
      <c r="AN35" s="55">
        <f t="shared" si="5"/>
      </c>
      <c r="AO35" s="110"/>
      <c r="AQ35" s="100"/>
      <c r="AR35" s="55">
        <f t="shared" si="6"/>
      </c>
      <c r="AS35" s="98"/>
      <c r="AT35" s="55">
        <f t="shared" si="7"/>
      </c>
      <c r="AU35" s="98"/>
      <c r="AV35" s="55">
        <f t="shared" si="8"/>
      </c>
      <c r="AX35" s="100"/>
      <c r="AY35" s="101"/>
      <c r="AZ35" s="102"/>
      <c r="BA35" s="98"/>
      <c r="BB35" s="102"/>
      <c r="BC35" s="98"/>
      <c r="BD35" s="98"/>
      <c r="BE35" s="103"/>
      <c r="BG35" s="100"/>
      <c r="BH35" s="84"/>
      <c r="BI35" s="104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3">
        <v>2082836</v>
      </c>
      <c r="D36" s="139">
        <f t="shared" si="0"/>
        <v>1.694</v>
      </c>
      <c r="E36" s="142">
        <v>4</v>
      </c>
      <c r="F36" s="143">
        <v>0.4</v>
      </c>
      <c r="G36" s="184" t="str">
        <f t="shared" si="1"/>
        <v>0.00</v>
      </c>
      <c r="H36" s="113">
        <v>3650</v>
      </c>
      <c r="I36" s="114">
        <v>4500</v>
      </c>
      <c r="K36" s="115" t="s">
        <v>208</v>
      </c>
      <c r="L36" s="113">
        <v>64</v>
      </c>
      <c r="M36" s="116">
        <v>0</v>
      </c>
      <c r="O36" s="117"/>
      <c r="Q36" s="257">
        <v>17</v>
      </c>
      <c r="R36" s="258">
        <v>0.24</v>
      </c>
      <c r="S36" s="263">
        <v>24</v>
      </c>
      <c r="U36" s="118">
        <v>7.4</v>
      </c>
      <c r="V36" s="119">
        <v>6.2</v>
      </c>
      <c r="W36" s="120">
        <v>6.7</v>
      </c>
      <c r="Y36" s="121">
        <v>19</v>
      </c>
      <c r="Z36" s="122">
        <v>19</v>
      </c>
      <c r="AA36" s="123">
        <v>19</v>
      </c>
      <c r="AC36" s="118">
        <v>12</v>
      </c>
      <c r="AD36" s="124">
        <v>1</v>
      </c>
      <c r="AE36" s="125">
        <v>0.01</v>
      </c>
      <c r="AG36" s="45">
        <f t="shared" si="2"/>
        <v>25</v>
      </c>
      <c r="AI36" s="126"/>
      <c r="AJ36" s="65">
        <f t="shared" si="3"/>
      </c>
      <c r="AK36" s="126"/>
      <c r="AL36" s="65">
        <f t="shared" si="4"/>
      </c>
      <c r="AM36" s="126"/>
      <c r="AN36" s="65">
        <f t="shared" si="5"/>
      </c>
      <c r="AO36" s="127"/>
      <c r="AQ36" s="128"/>
      <c r="AR36" s="65">
        <f t="shared" si="6"/>
      </c>
      <c r="AS36" s="126"/>
      <c r="AT36" s="65">
        <f t="shared" si="7"/>
      </c>
      <c r="AU36" s="126"/>
      <c r="AV36" s="65">
        <f t="shared" si="8"/>
      </c>
      <c r="AX36" s="128">
        <v>50975</v>
      </c>
      <c r="AY36" s="129">
        <v>3</v>
      </c>
      <c r="AZ36" s="130">
        <v>3.5</v>
      </c>
      <c r="BA36" s="126">
        <v>31</v>
      </c>
      <c r="BB36" s="130">
        <v>33</v>
      </c>
      <c r="BC36" s="126">
        <v>24</v>
      </c>
      <c r="BD36" s="126">
        <v>2205</v>
      </c>
      <c r="BE36" s="131">
        <v>12.29</v>
      </c>
      <c r="BG36" s="128">
        <v>24</v>
      </c>
      <c r="BH36" s="111" t="s">
        <v>226</v>
      </c>
      <c r="BI36" s="132" t="s">
        <v>227</v>
      </c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5">
        <v>2084854</v>
      </c>
      <c r="D37" s="138">
        <f t="shared" si="0"/>
        <v>2.018</v>
      </c>
      <c r="E37" s="140">
        <v>4</v>
      </c>
      <c r="F37" s="141">
        <v>0.4</v>
      </c>
      <c r="G37" s="81" t="str">
        <f t="shared" si="1"/>
        <v>0.00</v>
      </c>
      <c r="H37" s="85">
        <v>5800</v>
      </c>
      <c r="I37" s="86">
        <v>7000</v>
      </c>
      <c r="K37" s="87" t="s">
        <v>210</v>
      </c>
      <c r="L37" s="85">
        <v>66</v>
      </c>
      <c r="M37" s="88">
        <v>0.01</v>
      </c>
      <c r="O37" s="107"/>
      <c r="Q37" s="108">
        <v>20</v>
      </c>
      <c r="R37" s="153">
        <v>0.17</v>
      </c>
      <c r="S37" s="109">
        <v>6</v>
      </c>
      <c r="U37" s="93">
        <v>7.3</v>
      </c>
      <c r="V37" s="94">
        <v>7.1</v>
      </c>
      <c r="W37" s="95">
        <v>6.8</v>
      </c>
      <c r="Y37" s="90">
        <v>19</v>
      </c>
      <c r="Z37" s="96">
        <v>18</v>
      </c>
      <c r="AA37" s="92">
        <v>20</v>
      </c>
      <c r="AC37" s="93">
        <v>8</v>
      </c>
      <c r="AD37" s="91">
        <v>0</v>
      </c>
      <c r="AE37" s="97">
        <v>0</v>
      </c>
      <c r="AG37" s="45">
        <f t="shared" si="2"/>
        <v>26</v>
      </c>
      <c r="AI37" s="98"/>
      <c r="AJ37" s="55">
        <f t="shared" si="3"/>
      </c>
      <c r="AK37" s="98"/>
      <c r="AL37" s="55">
        <f t="shared" si="4"/>
      </c>
      <c r="AM37" s="98"/>
      <c r="AN37" s="55">
        <f t="shared" si="5"/>
      </c>
      <c r="AO37" s="110"/>
      <c r="AQ37" s="100"/>
      <c r="AR37" s="55">
        <f t="shared" si="6"/>
      </c>
      <c r="AS37" s="98"/>
      <c r="AT37" s="55">
        <f t="shared" si="7"/>
      </c>
      <c r="AU37" s="98"/>
      <c r="AV37" s="55">
        <f t="shared" si="8"/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6">
        <f>(IF(((SUM(AJ12:AJ42))=0)," ",(((AJ47-(D47*AO47*8.346))/AJ47)*100)))</f>
        <v>97.63108219780786</v>
      </c>
      <c r="CK37" s="3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5">
        <v>2086804</v>
      </c>
      <c r="D38" s="138">
        <f t="shared" si="0"/>
        <v>1.95</v>
      </c>
      <c r="E38" s="140">
        <v>3.4</v>
      </c>
      <c r="F38" s="141">
        <v>0.4</v>
      </c>
      <c r="G38" s="81" t="str">
        <f t="shared" si="1"/>
        <v>0.00</v>
      </c>
      <c r="H38" s="85">
        <v>2100</v>
      </c>
      <c r="I38" s="86">
        <v>9500</v>
      </c>
      <c r="K38" s="87" t="s">
        <v>210</v>
      </c>
      <c r="L38" s="85">
        <v>72</v>
      </c>
      <c r="M38" s="88">
        <v>0.06</v>
      </c>
      <c r="O38" s="107"/>
      <c r="Q38" s="108">
        <v>19</v>
      </c>
      <c r="R38" s="153">
        <v>0.26</v>
      </c>
      <c r="S38" s="109">
        <v>19</v>
      </c>
      <c r="U38" s="93">
        <v>7.3</v>
      </c>
      <c r="V38" s="94">
        <v>7.1</v>
      </c>
      <c r="W38" s="95">
        <v>6.7</v>
      </c>
      <c r="Y38" s="90">
        <v>18</v>
      </c>
      <c r="Z38" s="96">
        <v>19</v>
      </c>
      <c r="AA38" s="92">
        <v>20</v>
      </c>
      <c r="AC38" s="93">
        <v>7.5</v>
      </c>
      <c r="AD38" s="91">
        <v>0.01</v>
      </c>
      <c r="AE38" s="97">
        <v>0</v>
      </c>
      <c r="AG38" s="45">
        <f t="shared" si="2"/>
        <v>27</v>
      </c>
      <c r="AI38" s="98">
        <v>268</v>
      </c>
      <c r="AJ38" s="55">
        <f t="shared" si="3"/>
        <v>4358.484</v>
      </c>
      <c r="AK38" s="98"/>
      <c r="AL38" s="55">
        <f t="shared" si="4"/>
      </c>
      <c r="AM38" s="98">
        <v>8</v>
      </c>
      <c r="AN38" s="55">
        <f t="shared" si="5"/>
        <v>130.10399999999998</v>
      </c>
      <c r="AO38" s="110">
        <v>7</v>
      </c>
      <c r="AQ38" s="100">
        <v>228</v>
      </c>
      <c r="AR38" s="55">
        <f t="shared" si="6"/>
        <v>3707.9639999999995</v>
      </c>
      <c r="AS38" s="98"/>
      <c r="AT38" s="55">
        <f t="shared" si="7"/>
      </c>
      <c r="AU38" s="98">
        <v>16</v>
      </c>
      <c r="AV38" s="55">
        <f t="shared" si="8"/>
        <v>260.20799999999997</v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72" t="s">
        <v>150</v>
      </c>
      <c r="BR38" s="272" t="s">
        <v>150</v>
      </c>
      <c r="BS38" s="272" t="s">
        <v>150</v>
      </c>
      <c r="BT38" s="26"/>
      <c r="BU38" s="68">
        <f>(AN49)</f>
        <v>96.62199232710664</v>
      </c>
      <c r="BV38" s="272" t="s">
        <v>150</v>
      </c>
      <c r="BW38" s="272" t="s">
        <v>150</v>
      </c>
      <c r="BX38" s="26" t="s">
        <v>129</v>
      </c>
      <c r="BY38" s="26"/>
      <c r="BZ38" s="26">
        <v>0</v>
      </c>
      <c r="CA38" s="267" t="s">
        <v>49</v>
      </c>
      <c r="CB38" s="26" t="s">
        <v>26</v>
      </c>
      <c r="CC38" s="137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5">
        <v>2088586</v>
      </c>
      <c r="D39" s="138">
        <f t="shared" si="0"/>
        <v>1.782</v>
      </c>
      <c r="E39" s="140">
        <v>3.4</v>
      </c>
      <c r="F39" s="141">
        <v>0.4</v>
      </c>
      <c r="G39" s="81" t="str">
        <f t="shared" si="1"/>
        <v>0.00</v>
      </c>
      <c r="H39" s="85">
        <v>3750</v>
      </c>
      <c r="I39" s="86">
        <v>9750</v>
      </c>
      <c r="K39" s="87" t="s">
        <v>210</v>
      </c>
      <c r="L39" s="85">
        <v>63</v>
      </c>
      <c r="M39" s="88">
        <v>0.01</v>
      </c>
      <c r="O39" s="107"/>
      <c r="Q39" s="108">
        <v>19</v>
      </c>
      <c r="R39" s="153">
        <v>0.26</v>
      </c>
      <c r="S39" s="109"/>
      <c r="U39" s="93">
        <v>7.4</v>
      </c>
      <c r="V39" s="94">
        <v>7</v>
      </c>
      <c r="W39" s="95">
        <v>6.7</v>
      </c>
      <c r="Y39" s="90">
        <v>18</v>
      </c>
      <c r="Z39" s="96">
        <v>18</v>
      </c>
      <c r="AA39" s="92">
        <v>19</v>
      </c>
      <c r="AC39" s="93">
        <v>6.5</v>
      </c>
      <c r="AD39" s="91">
        <v>0.01</v>
      </c>
      <c r="AE39" s="97">
        <v>0</v>
      </c>
      <c r="AG39" s="45">
        <f t="shared" si="2"/>
        <v>28</v>
      </c>
      <c r="AI39" s="98">
        <v>331</v>
      </c>
      <c r="AJ39" s="55">
        <f t="shared" si="3"/>
        <v>4919.282279999999</v>
      </c>
      <c r="AK39" s="98"/>
      <c r="AL39" s="55">
        <f t="shared" si="4"/>
      </c>
      <c r="AM39" s="98">
        <v>11</v>
      </c>
      <c r="AN39" s="55">
        <f t="shared" si="5"/>
        <v>163.48068</v>
      </c>
      <c r="AO39" s="110">
        <v>8</v>
      </c>
      <c r="AQ39" s="100">
        <v>366</v>
      </c>
      <c r="AR39" s="55">
        <f t="shared" si="6"/>
        <v>5439.44808</v>
      </c>
      <c r="AS39" s="98"/>
      <c r="AT39" s="55">
        <f t="shared" si="7"/>
      </c>
      <c r="AU39" s="98">
        <v>18</v>
      </c>
      <c r="AV39" s="55">
        <f t="shared" si="8"/>
        <v>267.51384</v>
      </c>
      <c r="AX39" s="100">
        <v>54241</v>
      </c>
      <c r="AY39" s="101">
        <v>3</v>
      </c>
      <c r="AZ39" s="102">
        <v>3</v>
      </c>
      <c r="BA39" s="98">
        <v>34</v>
      </c>
      <c r="BB39" s="102">
        <v>39</v>
      </c>
      <c r="BC39" s="98">
        <v>24</v>
      </c>
      <c r="BD39" s="98">
        <v>1890</v>
      </c>
      <c r="BE39" s="103">
        <v>12.49</v>
      </c>
      <c r="BG39" s="100">
        <v>24</v>
      </c>
      <c r="BH39" s="84" t="s">
        <v>226</v>
      </c>
      <c r="BI39" s="104" t="s">
        <v>227</v>
      </c>
      <c r="BK39" s="17"/>
      <c r="BL39" s="19"/>
      <c r="BM39" s="26" t="s">
        <v>118</v>
      </c>
      <c r="BN39" s="20"/>
      <c r="BO39" s="154" t="s">
        <v>131</v>
      </c>
      <c r="BP39" s="26"/>
      <c r="BQ39" s="270" t="s">
        <v>150</v>
      </c>
      <c r="BR39" s="270" t="s">
        <v>150</v>
      </c>
      <c r="BS39" s="270" t="s">
        <v>150</v>
      </c>
      <c r="BT39" s="26"/>
      <c r="BU39" s="273">
        <v>85</v>
      </c>
      <c r="BV39" s="270" t="s">
        <v>150</v>
      </c>
      <c r="BW39" s="270" t="s">
        <v>150</v>
      </c>
      <c r="BX39" s="155" t="s">
        <v>129</v>
      </c>
      <c r="BY39" s="26"/>
      <c r="BZ39" s="270" t="s">
        <v>150</v>
      </c>
      <c r="CA39" s="271" t="s">
        <v>49</v>
      </c>
      <c r="CB39" s="155" t="s">
        <v>26</v>
      </c>
      <c r="CC39" s="137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5">
        <v>2090339</v>
      </c>
      <c r="D40" s="138">
        <f t="shared" si="0"/>
        <v>1.753</v>
      </c>
      <c r="E40" s="140">
        <v>3.4</v>
      </c>
      <c r="F40" s="141">
        <v>0.4</v>
      </c>
      <c r="G40" s="81" t="str">
        <f t="shared" si="1"/>
        <v>0.00</v>
      </c>
      <c r="H40" s="85">
        <v>3800</v>
      </c>
      <c r="I40" s="86">
        <v>6000</v>
      </c>
      <c r="K40" s="87" t="s">
        <v>210</v>
      </c>
      <c r="L40" s="85">
        <v>62</v>
      </c>
      <c r="M40" s="88">
        <v>0.03</v>
      </c>
      <c r="O40" s="107"/>
      <c r="Q40" s="108">
        <v>19</v>
      </c>
      <c r="R40" s="153">
        <v>0.13</v>
      </c>
      <c r="S40" s="109"/>
      <c r="U40" s="93">
        <v>7.6</v>
      </c>
      <c r="V40" s="94">
        <v>7.1</v>
      </c>
      <c r="W40" s="95">
        <v>6.9</v>
      </c>
      <c r="Y40" s="90">
        <v>18</v>
      </c>
      <c r="Z40" s="96">
        <v>18</v>
      </c>
      <c r="AA40" s="92">
        <v>19</v>
      </c>
      <c r="AC40" s="93">
        <v>13</v>
      </c>
      <c r="AD40" s="91">
        <v>0.01</v>
      </c>
      <c r="AE40" s="97">
        <v>0</v>
      </c>
      <c r="AG40" s="45">
        <f t="shared" si="2"/>
        <v>29</v>
      </c>
      <c r="AI40" s="98">
        <v>327</v>
      </c>
      <c r="AJ40" s="55">
        <f t="shared" si="3"/>
        <v>4780.74654</v>
      </c>
      <c r="AK40" s="98">
        <v>228</v>
      </c>
      <c r="AL40" s="55">
        <f t="shared" si="4"/>
        <v>3333.3645599999995</v>
      </c>
      <c r="AM40" s="98">
        <v>11</v>
      </c>
      <c r="AN40" s="55">
        <f t="shared" si="5"/>
        <v>160.82021999999998</v>
      </c>
      <c r="AO40" s="110">
        <v>7</v>
      </c>
      <c r="AQ40" s="100">
        <v>350</v>
      </c>
      <c r="AR40" s="55">
        <f t="shared" si="6"/>
        <v>5117.007</v>
      </c>
      <c r="AS40" s="98">
        <v>124</v>
      </c>
      <c r="AT40" s="55">
        <f t="shared" si="7"/>
        <v>1812.8824799999998</v>
      </c>
      <c r="AU40" s="98">
        <v>14</v>
      </c>
      <c r="AV40" s="55">
        <f t="shared" si="8"/>
        <v>204.68027999999998</v>
      </c>
      <c r="AX40" s="100"/>
      <c r="AY40" s="101"/>
      <c r="AZ40" s="102"/>
      <c r="BA40" s="98"/>
      <c r="BB40" s="102"/>
      <c r="BC40" s="98"/>
      <c r="BD40" s="98"/>
      <c r="BE40" s="103"/>
      <c r="BG40" s="100"/>
      <c r="BH40" s="84"/>
      <c r="BI40" s="104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5">
        <v>2092076</v>
      </c>
      <c r="D41" s="138">
        <f t="shared" si="0"/>
        <v>1.737</v>
      </c>
      <c r="E41" s="140">
        <v>4.1</v>
      </c>
      <c r="F41" s="141">
        <v>0.4</v>
      </c>
      <c r="G41" s="81" t="str">
        <f t="shared" si="1"/>
        <v>0.00</v>
      </c>
      <c r="H41" s="85">
        <v>0</v>
      </c>
      <c r="I41" s="86">
        <v>2000</v>
      </c>
      <c r="K41" s="87" t="s">
        <v>208</v>
      </c>
      <c r="L41" s="85">
        <v>67</v>
      </c>
      <c r="M41" s="88">
        <v>0</v>
      </c>
      <c r="O41" s="107"/>
      <c r="Q41" s="108">
        <v>18</v>
      </c>
      <c r="R41" s="153">
        <v>0.27</v>
      </c>
      <c r="S41" s="109"/>
      <c r="U41" s="93">
        <v>7.4</v>
      </c>
      <c r="V41" s="94">
        <v>7.1</v>
      </c>
      <c r="W41" s="95">
        <v>6.7</v>
      </c>
      <c r="Y41" s="90">
        <v>18</v>
      </c>
      <c r="Z41" s="96">
        <v>18</v>
      </c>
      <c r="AA41" s="92">
        <v>19</v>
      </c>
      <c r="AC41" s="93">
        <v>8</v>
      </c>
      <c r="AD41" s="91">
        <v>0.1</v>
      </c>
      <c r="AE41" s="97">
        <v>0</v>
      </c>
      <c r="AG41" s="45">
        <f t="shared" si="2"/>
        <v>30</v>
      </c>
      <c r="AI41" s="98"/>
      <c r="AJ41" s="55">
        <f t="shared" si="3"/>
      </c>
      <c r="AK41" s="98"/>
      <c r="AL41" s="55">
        <f t="shared" si="4"/>
      </c>
      <c r="AM41" s="98"/>
      <c r="AN41" s="55">
        <f t="shared" si="5"/>
      </c>
      <c r="AO41" s="110"/>
      <c r="AQ41" s="100"/>
      <c r="AR41" s="55">
        <f t="shared" si="6"/>
      </c>
      <c r="AS41" s="98"/>
      <c r="AT41" s="55">
        <f t="shared" si="7"/>
      </c>
      <c r="AU41" s="98"/>
      <c r="AV41" s="55">
        <f t="shared" si="8"/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3">
        <v>2094210</v>
      </c>
      <c r="D42" s="139">
        <f t="shared" si="0"/>
        <v>2.134</v>
      </c>
      <c r="E42" s="142">
        <v>3.4</v>
      </c>
      <c r="F42" s="143">
        <v>0.4</v>
      </c>
      <c r="G42" s="184" t="str">
        <f t="shared" si="1"/>
        <v>0.00</v>
      </c>
      <c r="H42" s="113">
        <v>0</v>
      </c>
      <c r="I42" s="114">
        <v>0</v>
      </c>
      <c r="K42" s="115" t="s">
        <v>210</v>
      </c>
      <c r="L42" s="113">
        <v>59</v>
      </c>
      <c r="M42" s="116">
        <v>0</v>
      </c>
      <c r="O42" s="117"/>
      <c r="Q42" s="257">
        <v>20</v>
      </c>
      <c r="R42" s="258">
        <v>0.27</v>
      </c>
      <c r="S42" s="114"/>
      <c r="U42" s="134">
        <v>7.4</v>
      </c>
      <c r="V42" s="135">
        <v>7.1</v>
      </c>
      <c r="W42" s="136">
        <v>6.9</v>
      </c>
      <c r="Y42" s="133">
        <v>17</v>
      </c>
      <c r="Z42" s="113">
        <v>18</v>
      </c>
      <c r="AA42" s="114">
        <v>18</v>
      </c>
      <c r="AC42" s="134">
        <v>5</v>
      </c>
      <c r="AD42" s="112">
        <v>0.1</v>
      </c>
      <c r="AE42" s="116">
        <v>0</v>
      </c>
      <c r="AG42" s="45">
        <f t="shared" si="2"/>
        <v>31</v>
      </c>
      <c r="AI42" s="126"/>
      <c r="AJ42" s="65">
        <f t="shared" si="3"/>
      </c>
      <c r="AK42" s="126"/>
      <c r="AL42" s="65">
        <f t="shared" si="4"/>
      </c>
      <c r="AM42" s="126"/>
      <c r="AN42" s="65">
        <f t="shared" si="5"/>
      </c>
      <c r="AO42" s="127"/>
      <c r="AQ42" s="128"/>
      <c r="AR42" s="65">
        <f t="shared" si="6"/>
      </c>
      <c r="AS42" s="126"/>
      <c r="AT42" s="65">
        <f t="shared" si="7"/>
      </c>
      <c r="AU42" s="126"/>
      <c r="AV42" s="65">
        <f t="shared" si="8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2" t="s">
        <v>150</v>
      </c>
      <c r="BR43" s="272" t="s">
        <v>150</v>
      </c>
      <c r="BS43" s="272" t="s">
        <v>150</v>
      </c>
      <c r="BT43" s="26"/>
      <c r="BU43" s="68">
        <f>(AU49)</f>
        <v>94.99768411301528</v>
      </c>
      <c r="BV43" s="272" t="s">
        <v>150</v>
      </c>
      <c r="BW43" s="272" t="s">
        <v>150</v>
      </c>
      <c r="BX43" s="26" t="s">
        <v>129</v>
      </c>
      <c r="BY43" s="26"/>
      <c r="BZ43" s="26">
        <v>0</v>
      </c>
      <c r="CA43" s="267" t="s">
        <v>49</v>
      </c>
      <c r="CB43" s="26" t="s">
        <v>26</v>
      </c>
      <c r="CC43" s="137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9">
        <f>(IF(((SUM(C12:C42))=0)," ",((MAX(C12:C42))-C11)))</f>
        <v>59291</v>
      </c>
      <c r="D44" s="228">
        <f>(IF(((SUM(D12:D42))=0)," ",(SUM(D12:D42))))</f>
        <v>59.291000000000004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92550</v>
      </c>
      <c r="I44" s="196">
        <f>(IF(((SUM(I12:I42))=0)," ",(SUM(I12:I42))))</f>
        <v>167000</v>
      </c>
      <c r="K44" s="200" t="s">
        <v>150</v>
      </c>
      <c r="L44" s="201" t="s">
        <v>150</v>
      </c>
      <c r="M44" s="202">
        <f>(IF(((SUM(M12:M42))=0)," ",(SUM(M11:M42))))</f>
        <v>1.9100000000000001</v>
      </c>
      <c r="O44" s="203" t="str">
        <f>(IF(((SUM(O12:O42))=0),"0.0",(SUM(O11:O42))))</f>
        <v>0.0</v>
      </c>
      <c r="Q44" s="199">
        <f>(IF(((SUM(Q12:Q42))=0),"0",(SUM(Q11:Q42))))</f>
        <v>655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418080</v>
      </c>
      <c r="AY44" s="201" t="s">
        <v>150</v>
      </c>
      <c r="AZ44" s="212">
        <f>(IF(((SUM(AZ12:AZ42))=0)," ",(SUM(AZ12:AZ42))))</f>
        <v>28</v>
      </c>
      <c r="BA44" s="199">
        <f>(IF(((SUM(BA12:BA42))=0)," ",(SUM(BA12:BA42))))</f>
        <v>275.6</v>
      </c>
      <c r="BB44" s="207" t="s">
        <v>150</v>
      </c>
      <c r="BC44" s="199">
        <f>(IF(((SUM(BC12:BC42))=0)," ",(SUM(BC12:BC42))))</f>
        <v>192</v>
      </c>
      <c r="BD44" s="189">
        <f>(IF(((SUM(BD12:BD42))=0)," ",(SUM(BD12:BD42))))</f>
        <v>18878</v>
      </c>
      <c r="BE44" s="210" t="s">
        <v>150</v>
      </c>
      <c r="BG44" s="199">
        <f>(IF(((SUM(BG12:BG42))=0)," ",(SUM(BG12:BG42))))</f>
        <v>192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70" t="s">
        <v>150</v>
      </c>
      <c r="BR44" s="270" t="s">
        <v>150</v>
      </c>
      <c r="BS44" s="270" t="s">
        <v>150</v>
      </c>
      <c r="BT44" s="26"/>
      <c r="BU44" s="273">
        <v>85</v>
      </c>
      <c r="BV44" s="270" t="s">
        <v>150</v>
      </c>
      <c r="BW44" s="270" t="s">
        <v>150</v>
      </c>
      <c r="BX44" s="155" t="s">
        <v>129</v>
      </c>
      <c r="BY44" s="26"/>
      <c r="BZ44" s="270" t="s">
        <v>150</v>
      </c>
      <c r="CA44" s="271" t="s">
        <v>49</v>
      </c>
      <c r="CB44" s="155" t="s">
        <v>26</v>
      </c>
      <c r="CC44" s="137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2.134</v>
      </c>
      <c r="E45" s="216">
        <f>(IF((SUM(E12:E42))=0," ",(MAX(E12:E42))))</f>
        <v>4.2</v>
      </c>
      <c r="F45" s="217">
        <f>(IF((SUM(F12:F42))=0," ",(MAX(F12:F42))))</f>
        <v>0.4</v>
      </c>
      <c r="G45" s="216">
        <f>(MAX(G12:G42))</f>
        <v>0</v>
      </c>
      <c r="H45" s="162">
        <f>(IF((SUM(H12:H42))=0," ",(MAX(H12:H42))))</f>
        <v>11100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76</v>
      </c>
      <c r="M45" s="219">
        <f>(IF((SUM(M12:M42))=0," ",(MAX(M12:M42))))</f>
        <v>0.65</v>
      </c>
      <c r="O45" s="220" t="s">
        <v>150</v>
      </c>
      <c r="Q45" s="221" t="s">
        <v>150</v>
      </c>
      <c r="R45" s="184">
        <f>(IF(((SUM(R12:R42))=0),"-",(MAX(R12:R42))))</f>
        <v>0.37</v>
      </c>
      <c r="S45" s="163">
        <f>(IF(((SUM(S12:S42))=0),"-",(MAX(S12:S42))))</f>
        <v>416</v>
      </c>
      <c r="U45" s="222">
        <f>(IF((SUM(U12:U42))=0," ",(MAX(U12:U42))))</f>
        <v>7.6</v>
      </c>
      <c r="V45" s="183">
        <f>(IF((SUM(V12:V42))=0," ",(MAX(V12:V42))))</f>
        <v>7.1</v>
      </c>
      <c r="W45" s="223">
        <f>(IF((SUM(W12:W42))=0," ",(MAX(W12:W42))))</f>
        <v>6.9</v>
      </c>
      <c r="Y45" s="218">
        <f>(IF((SUM(Y12:Y42))=0," ",(MAX(Y12:Y42))))</f>
        <v>19</v>
      </c>
      <c r="Z45" s="162">
        <f>(IF((SUM(Z12:Z42))=0," ",(MAX(Z12:Z42))))</f>
        <v>19</v>
      </c>
      <c r="AA45" s="163">
        <f>(IF((SUM(AA12:AA42))=0," ",(MAX(AA12:AA42))))</f>
        <v>20</v>
      </c>
      <c r="AC45" s="222">
        <f>(IF((SUM(AC12:AC42))=0," ",(MAX(AC12:AC42))))</f>
        <v>14</v>
      </c>
      <c r="AD45" s="184">
        <f>(IF((SUM(AD12:AD42))=0," ",(MAX(AD12:AD42))))</f>
        <v>1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364</v>
      </c>
      <c r="AJ45" s="162">
        <f t="shared" si="9"/>
        <v>5931.87504</v>
      </c>
      <c r="AK45" s="218">
        <f t="shared" si="9"/>
        <v>228</v>
      </c>
      <c r="AL45" s="163">
        <f t="shared" si="9"/>
        <v>3333.3645599999995</v>
      </c>
      <c r="AM45" s="218">
        <f t="shared" si="9"/>
        <v>13</v>
      </c>
      <c r="AN45" s="163">
        <f t="shared" si="9"/>
        <v>227.79041999999998</v>
      </c>
      <c r="AO45" s="224">
        <f t="shared" si="9"/>
        <v>10</v>
      </c>
      <c r="AQ45" s="218">
        <f aca="true" t="shared" si="10" ref="AQ45:AV45">(IF((SUM(AQ12:AQ42))=0," ",(MAX(AQ12:AQ42))))</f>
        <v>438</v>
      </c>
      <c r="AR45" s="163">
        <f t="shared" si="10"/>
        <v>7137.8056799999995</v>
      </c>
      <c r="AS45" s="218">
        <f t="shared" si="10"/>
        <v>124</v>
      </c>
      <c r="AT45" s="163">
        <f t="shared" si="10"/>
        <v>1933.5122399999998</v>
      </c>
      <c r="AU45" s="218">
        <f t="shared" si="10"/>
        <v>20</v>
      </c>
      <c r="AV45" s="163">
        <f t="shared" si="10"/>
        <v>350.44679999999994</v>
      </c>
      <c r="AX45" s="221" t="s">
        <v>150</v>
      </c>
      <c r="AY45" s="183">
        <f>(IF((SUM(AY12:AY42))=0," ",(MAX(AY12:AY42))))</f>
        <v>4</v>
      </c>
      <c r="AZ45" s="225" t="s">
        <v>150</v>
      </c>
      <c r="BA45" s="221" t="s">
        <v>150</v>
      </c>
      <c r="BB45" s="223">
        <f>(IF((SUM(BB12:BB42))=0," ",(MAX(BB12:BB42))))</f>
        <v>43</v>
      </c>
      <c r="BC45" s="221" t="s">
        <v>150</v>
      </c>
      <c r="BD45" s="179" t="s">
        <v>150</v>
      </c>
      <c r="BE45" s="219">
        <f>(IF((SUM(BE12:BE42))=0," ",(MAX(BE12:BE42))))</f>
        <v>12.49</v>
      </c>
      <c r="BG45" s="221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1.694</v>
      </c>
      <c r="E46" s="227">
        <f>(IF((SUM(E12:E42))=0," ",(MIN(E12:E42))))</f>
        <v>3.2</v>
      </c>
      <c r="F46" s="228">
        <f>(IF((SUM(F12:F42))=0," ",(MIN(F12:F42))))</f>
        <v>0.4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59</v>
      </c>
      <c r="M46" s="202">
        <f>(IF((SUM(M12:M42))=0," ",(MIN(M12:M42))))</f>
        <v>0</v>
      </c>
      <c r="O46" s="229" t="s">
        <v>150</v>
      </c>
      <c r="Q46" s="208" t="s">
        <v>150</v>
      </c>
      <c r="R46" s="191">
        <f>(IF(((SUM(R12:R42))=0),"-",(MIN(R12:R42))))</f>
        <v>0.13</v>
      </c>
      <c r="S46" s="196">
        <f>(IF(((SUM(S12:S42))=0),"-",(MIN(S12:S42))))</f>
        <v>3</v>
      </c>
      <c r="U46" s="230">
        <f>(IF((SUM(U12:U42))=0," ",(MIN(U12:U42))))</f>
        <v>7</v>
      </c>
      <c r="V46" s="192">
        <f>(IF((SUM(V12:V42))=0," ",(MIN(V12:V42))))</f>
        <v>6.2</v>
      </c>
      <c r="W46" s="212">
        <f>(IF((SUM(W12:W42))=0," ",(MIN(W12:W42))))</f>
        <v>6.5</v>
      </c>
      <c r="Y46" s="199">
        <f aca="true" t="shared" si="11" ref="Y46:AD46">(IF((SUM(Y12:Y42))=0," ",(MIN(Y12:Y42))))</f>
        <v>17</v>
      </c>
      <c r="Z46" s="189">
        <f t="shared" si="11"/>
        <v>17</v>
      </c>
      <c r="AA46" s="196">
        <f t="shared" si="11"/>
        <v>18</v>
      </c>
      <c r="AB46" s="265" t="str">
        <f t="shared" si="11"/>
        <v> </v>
      </c>
      <c r="AC46" s="230">
        <f t="shared" si="11"/>
        <v>3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268</v>
      </c>
      <c r="AJ46" s="189">
        <f t="shared" si="12"/>
        <v>4358.484</v>
      </c>
      <c r="AK46" s="199">
        <f t="shared" si="12"/>
        <v>137</v>
      </c>
      <c r="AL46" s="196">
        <f t="shared" si="12"/>
        <v>2310.2967599999997</v>
      </c>
      <c r="AM46" s="199">
        <f t="shared" si="12"/>
        <v>8</v>
      </c>
      <c r="AN46" s="196">
        <f t="shared" si="12"/>
        <v>121.83072</v>
      </c>
      <c r="AO46" s="231">
        <f t="shared" si="12"/>
        <v>6</v>
      </c>
      <c r="AQ46" s="199">
        <f aca="true" t="shared" si="13" ref="AQ46:AV46">(IF((SUM(AQ12:AQ42))=0," ",(MIN(AQ12:AQ42))))</f>
        <v>228</v>
      </c>
      <c r="AR46" s="196">
        <f t="shared" si="13"/>
        <v>3707.9639999999995</v>
      </c>
      <c r="AS46" s="199">
        <f t="shared" si="13"/>
        <v>93</v>
      </c>
      <c r="AT46" s="196">
        <f t="shared" si="13"/>
        <v>1568.3036399999999</v>
      </c>
      <c r="AU46" s="199">
        <f t="shared" si="13"/>
        <v>14</v>
      </c>
      <c r="AV46" s="196">
        <f t="shared" si="13"/>
        <v>204.68027999999998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29</v>
      </c>
      <c r="BC46" s="208" t="s">
        <v>150</v>
      </c>
      <c r="BD46" s="209" t="s">
        <v>150</v>
      </c>
      <c r="BE46" s="202">
        <f>(IF((SUM(BE12:BE42))=0," ",(MIN(BE12:BE42))))</f>
        <v>12.16</v>
      </c>
      <c r="BG46" s="208" t="s">
        <v>150</v>
      </c>
      <c r="BH46" s="214" t="s">
        <v>150</v>
      </c>
      <c r="BI46" s="215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1.9126129032258066</v>
      </c>
      <c r="E47" s="216">
        <f>(IF((SUM(E12:E42))=0," ",(AVERAGE(E12:E42))))</f>
        <v>3.5903225806451626</v>
      </c>
      <c r="F47" s="217">
        <f>(IF((SUM(F12:F42))=0," ",(AVERAGE(F12:F42))))</f>
        <v>0.4000000000000002</v>
      </c>
      <c r="G47" s="216" t="str">
        <f>(IF((SUM(G12:G42))=0,"0.000",(AVERAGE(G12:G42))))</f>
        <v>0.000</v>
      </c>
      <c r="H47" s="162">
        <f>(IF((SUM(H12:H42))=0," ",(AVERAGE(H12:H42))))</f>
        <v>2985.483870967742</v>
      </c>
      <c r="I47" s="163">
        <f>(IF((SUM(I12:I42))=0," ",(AVERAGE(I12:I42))))</f>
        <v>5387.096774193548</v>
      </c>
      <c r="K47" s="180" t="s">
        <v>150</v>
      </c>
      <c r="L47" s="183">
        <f>(IF((SUM(L12:L42))=0," ",(AVERAGE(L12:L42))))</f>
        <v>68.90322580645162</v>
      </c>
      <c r="M47" s="219">
        <f>(IF((SUM(M12:M42))=0," ",(AVERAGE(M12:M42))))</f>
        <v>0.061612903225806454</v>
      </c>
      <c r="O47" s="220" t="s">
        <v>150</v>
      </c>
      <c r="Q47" s="218">
        <f>(IF((SUM(Q12:Q42))=0," ",(AVERAGE(Q12:Q42))))</f>
        <v>21.129032258064516</v>
      </c>
      <c r="R47" s="233" t="s">
        <v>150</v>
      </c>
      <c r="S47" s="234" t="s">
        <v>150</v>
      </c>
      <c r="U47" s="222">
        <f>(IF((SUM(U12:U42))=0," ",(AVERAGE(U12:U42))))</f>
        <v>7.277419354838712</v>
      </c>
      <c r="V47" s="183">
        <f>(IF((SUM(V12:V42))=0," ",(AVERAGE(V12:V42))))</f>
        <v>7.003225806451611</v>
      </c>
      <c r="W47" s="223">
        <f>(IF((SUM(W12:W42))=0," ",(AVERAGE(W12:W42))))</f>
        <v>6.729032258064515</v>
      </c>
      <c r="Y47" s="218">
        <f>(IF((SUM(Y12:Y42))=0," ",(AVERAGE(Y12:Y42))))</f>
        <v>17.806451612903224</v>
      </c>
      <c r="Z47" s="162">
        <f>(IF((SUM(Z12:Z42))=0," ",(AVERAGE(Z12:Z42))))</f>
        <v>18.161290322580644</v>
      </c>
      <c r="AA47" s="163">
        <f>(IF((SUM(AA12:AA42))=0," ",(AVERAGE(AA12:AA42))))</f>
        <v>19.451612903225808</v>
      </c>
      <c r="AC47" s="222">
        <f>(IF((SUM(AC12:AC42))=0," ",(AVERAGE(AC12:AC42))))</f>
        <v>7.258064516129032</v>
      </c>
      <c r="AD47" s="184">
        <f>(IF((SUM(AD12:AD42))=0," ",(AVERAGE(AD12:AD42))))</f>
        <v>0.06387096774193549</v>
      </c>
      <c r="AE47" s="219">
        <f>(IF((COUNT(AE12:AE42))=0," ",(AVERAGE(AE12:AE42))))</f>
        <v>0.0016129032258064516</v>
      </c>
      <c r="AG47" s="26" t="str">
        <f>($A47)</f>
        <v>Average</v>
      </c>
      <c r="AI47" s="162">
        <f aca="true" t="shared" si="14" ref="AI47:AO47">(IF((SUM(AI12:AI42))=0," ",(AVERAGE(AI12:AI42))))</f>
        <v>315.61538461538464</v>
      </c>
      <c r="AJ47" s="162">
        <f t="shared" si="14"/>
        <v>5053.784667692306</v>
      </c>
      <c r="AK47" s="218">
        <f t="shared" si="14"/>
        <v>177.6</v>
      </c>
      <c r="AL47" s="163">
        <f t="shared" si="14"/>
        <v>2806.661868</v>
      </c>
      <c r="AM47" s="218">
        <f t="shared" si="14"/>
        <v>10.615384615384615</v>
      </c>
      <c r="AN47" s="163">
        <f t="shared" si="14"/>
        <v>170.71723384615385</v>
      </c>
      <c r="AO47" s="224">
        <f t="shared" si="14"/>
        <v>7.5</v>
      </c>
      <c r="AQ47" s="218">
        <f aca="true" t="shared" si="15" ref="AQ47:AV47">(IF((SUM(AQ12:AQ42))=0," ",(AVERAGE(AQ12:AQ42))))</f>
        <v>332.15384615384613</v>
      </c>
      <c r="AR47" s="163">
        <f t="shared" si="15"/>
        <v>5326.106196923078</v>
      </c>
      <c r="AS47" s="218">
        <f t="shared" si="15"/>
        <v>109.4</v>
      </c>
      <c r="AT47" s="163">
        <f t="shared" si="15"/>
        <v>1734.383064</v>
      </c>
      <c r="AU47" s="218">
        <f t="shared" si="15"/>
        <v>16.615384615384617</v>
      </c>
      <c r="AV47" s="163">
        <f t="shared" si="15"/>
        <v>267.1269923076923</v>
      </c>
      <c r="AX47" s="218">
        <f aca="true" t="shared" si="16" ref="AX47:BE47">(IF((SUM(AX12:AX42))=0," ",(AVERAGE(AX12:AX42))))</f>
        <v>52260</v>
      </c>
      <c r="AY47" s="183">
        <f t="shared" si="16"/>
        <v>3.25</v>
      </c>
      <c r="AZ47" s="223">
        <f t="shared" si="16"/>
        <v>3.5</v>
      </c>
      <c r="BA47" s="218">
        <f t="shared" si="16"/>
        <v>34.45</v>
      </c>
      <c r="BB47" s="223">
        <f t="shared" si="16"/>
        <v>34.875</v>
      </c>
      <c r="BC47" s="218">
        <f t="shared" si="16"/>
        <v>24</v>
      </c>
      <c r="BD47" s="162">
        <f t="shared" si="16"/>
        <v>2359.75</v>
      </c>
      <c r="BE47" s="219">
        <f t="shared" si="16"/>
        <v>12.2825</v>
      </c>
      <c r="BG47" s="218">
        <f>(IF((SUM(BG12:BG42))=0," ",(AVERAGE(BG12:BG42))))</f>
        <v>24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7" t="s">
        <v>203</v>
      </c>
      <c r="BR48" s="272" t="s">
        <v>150</v>
      </c>
      <c r="BS48" s="277" t="s">
        <v>203</v>
      </c>
      <c r="BT48" s="26"/>
      <c r="BU48" s="272" t="s">
        <v>150</v>
      </c>
      <c r="BV48" s="58">
        <f>(S49)</f>
        <v>20.516513188886666</v>
      </c>
      <c r="BW48" s="58">
        <f>(S45)</f>
        <v>416</v>
      </c>
      <c r="BX48" s="272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>
        <f>(IF(((SUM(S12:S42))=0),"-",(GEOMEAN(S12:S42))))</f>
        <v>20.516513188886666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96.62199232710664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94.99768411301528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78" t="s">
        <v>203</v>
      </c>
      <c r="BR49" s="270" t="s">
        <v>150</v>
      </c>
      <c r="BS49" s="278" t="s">
        <v>203</v>
      </c>
      <c r="BT49" s="26"/>
      <c r="BU49" s="270" t="s">
        <v>150</v>
      </c>
      <c r="BV49" s="269">
        <v>142</v>
      </c>
      <c r="BW49" s="269">
        <v>949</v>
      </c>
      <c r="BX49" s="279" t="s">
        <v>204</v>
      </c>
      <c r="BY49" s="26"/>
      <c r="BZ49" s="270" t="s">
        <v>150</v>
      </c>
      <c r="CA49" s="276" t="s">
        <v>205</v>
      </c>
      <c r="CB49" s="155" t="s">
        <v>23</v>
      </c>
      <c r="CC49" s="27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O52" s="11"/>
      <c r="Q52" s="11"/>
      <c r="R52" s="11"/>
      <c r="S52" s="11"/>
      <c r="U52" s="11"/>
      <c r="V52" s="11"/>
      <c r="W52" s="11"/>
      <c r="Y52" s="11"/>
      <c r="Z52" s="11"/>
      <c r="AA52" s="11"/>
      <c r="AC52" s="11"/>
      <c r="AD52" s="11"/>
      <c r="AE52" s="11"/>
      <c r="AG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X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K52" s="11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11"/>
    </row>
    <row r="53" spans="1:94" ht="18" customHeight="1">
      <c r="A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O53" s="11"/>
      <c r="Q53" s="11"/>
      <c r="R53" s="11"/>
      <c r="S53" s="11"/>
      <c r="U53" s="11"/>
      <c r="V53" s="11"/>
      <c r="W53" s="11"/>
      <c r="Y53" s="11"/>
      <c r="Z53" s="11"/>
      <c r="AA53" s="11"/>
      <c r="AC53" s="11"/>
      <c r="AD53" s="11"/>
      <c r="AE53" s="11"/>
      <c r="AG53" s="11"/>
      <c r="AI53" s="11"/>
      <c r="AJ53" s="11"/>
      <c r="AK53" s="11"/>
      <c r="AL53" s="11"/>
      <c r="AM53" s="11"/>
      <c r="AN53" s="11"/>
      <c r="AO53" s="11"/>
      <c r="AQ53" s="11"/>
      <c r="AR53" s="11"/>
      <c r="AS53" s="11"/>
      <c r="AT53" s="11"/>
      <c r="AU53" s="11"/>
      <c r="AV53" s="11"/>
      <c r="AX53" s="11"/>
      <c r="AY53" s="11"/>
      <c r="AZ53" s="11"/>
      <c r="BA53" s="11"/>
      <c r="BB53" s="11"/>
      <c r="BC53" s="11"/>
      <c r="BD53" s="11"/>
      <c r="BE53" s="11"/>
      <c r="BG53" s="11"/>
      <c r="BH53" s="11"/>
      <c r="BI53" s="11"/>
      <c r="BK53" s="11"/>
      <c r="BL53" s="19"/>
      <c r="BM53" s="20" t="s">
        <v>206</v>
      </c>
      <c r="BN53" s="20"/>
      <c r="BO53" s="57" t="s">
        <v>130</v>
      </c>
      <c r="BP53" s="20"/>
      <c r="BQ53" s="277" t="s">
        <v>203</v>
      </c>
      <c r="BR53" s="272" t="s">
        <v>150</v>
      </c>
      <c r="BS53" s="277" t="s">
        <v>203</v>
      </c>
      <c r="BT53" s="26"/>
      <c r="BU53" s="272" t="s">
        <v>150</v>
      </c>
      <c r="BV53" s="272" t="s">
        <v>150</v>
      </c>
      <c r="BW53" s="71">
        <f>(R45)</f>
        <v>0.37</v>
      </c>
      <c r="BX53" s="272" t="s">
        <v>150</v>
      </c>
      <c r="BY53" s="26"/>
      <c r="BZ53" s="26">
        <v>0</v>
      </c>
      <c r="CA53" s="75" t="s">
        <v>207</v>
      </c>
      <c r="CB53" s="26" t="s">
        <v>23</v>
      </c>
      <c r="CC53" s="27"/>
      <c r="CP53" s="11"/>
    </row>
    <row r="54" spans="1:94" ht="18" customHeight="1">
      <c r="A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O54" s="11"/>
      <c r="Q54" s="11"/>
      <c r="R54" s="11"/>
      <c r="S54" s="11"/>
      <c r="U54" s="11"/>
      <c r="V54" s="11"/>
      <c r="W54" s="11"/>
      <c r="Y54" s="11"/>
      <c r="Z54" s="11"/>
      <c r="AA54" s="11"/>
      <c r="AC54" s="11"/>
      <c r="AD54" s="11"/>
      <c r="AE54" s="11"/>
      <c r="AG54" s="11"/>
      <c r="AI54" s="11"/>
      <c r="AJ54" s="11"/>
      <c r="AK54" s="11"/>
      <c r="AL54" s="11"/>
      <c r="AM54" s="11"/>
      <c r="AN54" s="11"/>
      <c r="AO54" s="11"/>
      <c r="AQ54" s="11"/>
      <c r="AR54" s="11"/>
      <c r="AS54" s="11"/>
      <c r="AT54" s="11"/>
      <c r="AU54" s="11"/>
      <c r="AV54" s="11"/>
      <c r="AX54" s="11"/>
      <c r="AY54" s="11"/>
      <c r="AZ54" s="11"/>
      <c r="BA54" s="11"/>
      <c r="BB54" s="11"/>
      <c r="BC54" s="11"/>
      <c r="BD54" s="11"/>
      <c r="BE54" s="11"/>
      <c r="BG54" s="11"/>
      <c r="BH54" s="11"/>
      <c r="BI54" s="11"/>
      <c r="BK54" s="11"/>
      <c r="BL54" s="19"/>
      <c r="BM54" s="26" t="s">
        <v>86</v>
      </c>
      <c r="BN54" s="20"/>
      <c r="BO54" s="154" t="s">
        <v>131</v>
      </c>
      <c r="BP54" s="20"/>
      <c r="BQ54" s="278" t="s">
        <v>203</v>
      </c>
      <c r="BR54" s="270" t="s">
        <v>150</v>
      </c>
      <c r="BS54" s="278" t="s">
        <v>203</v>
      </c>
      <c r="BT54" s="26"/>
      <c r="BU54" s="270" t="s">
        <v>150</v>
      </c>
      <c r="BV54" s="270" t="s">
        <v>150</v>
      </c>
      <c r="BW54" s="279">
        <v>0.86</v>
      </c>
      <c r="BX54" s="279" t="s">
        <v>44</v>
      </c>
      <c r="BY54" s="26"/>
      <c r="BZ54" s="270" t="s">
        <v>150</v>
      </c>
      <c r="CA54" s="271" t="s">
        <v>207</v>
      </c>
      <c r="CB54" s="155" t="s">
        <v>23</v>
      </c>
      <c r="CC54" s="27"/>
      <c r="CP54" s="11"/>
    </row>
    <row r="55" spans="1:94" ht="18" customHeight="1">
      <c r="A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O55" s="17"/>
      <c r="Q55" s="17"/>
      <c r="R55" s="17"/>
      <c r="S55" s="17"/>
      <c r="U55" s="17"/>
      <c r="V55" s="17"/>
      <c r="W55" s="17"/>
      <c r="Y55" s="17"/>
      <c r="Z55" s="17"/>
      <c r="AA55" s="17"/>
      <c r="AC55" s="17"/>
      <c r="AD55" s="17"/>
      <c r="AE55" s="17"/>
      <c r="AG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T55" s="11"/>
      <c r="AU55" s="11"/>
      <c r="AV55" s="11"/>
      <c r="AX55" s="11"/>
      <c r="AY55" s="11"/>
      <c r="AZ55" s="11"/>
      <c r="BA55" s="11"/>
      <c r="BB55" s="11"/>
      <c r="BC55" s="11"/>
      <c r="BD55" s="11"/>
      <c r="BE55" s="11"/>
      <c r="BG55" s="11"/>
      <c r="BH55" s="11"/>
      <c r="BI55" s="11"/>
      <c r="BK55" s="11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11"/>
    </row>
    <row r="56" spans="1:94" ht="18" customHeight="1">
      <c r="A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1"/>
      <c r="AI56" s="11"/>
      <c r="AJ56" s="11"/>
      <c r="AK56" s="11"/>
      <c r="AL56" s="11"/>
      <c r="AM56" s="11"/>
      <c r="AN56" s="11"/>
      <c r="AO56" s="11"/>
      <c r="AQ56" s="11"/>
      <c r="AR56" s="11"/>
      <c r="AS56" s="11"/>
      <c r="AT56" s="11"/>
      <c r="AU56" s="11"/>
      <c r="AV56" s="11"/>
      <c r="AX56" s="11"/>
      <c r="AY56" s="11"/>
      <c r="AZ56" s="11"/>
      <c r="BA56" s="11"/>
      <c r="BB56" s="11"/>
      <c r="BC56" s="11"/>
      <c r="BD56" s="11"/>
      <c r="BE56" s="11"/>
      <c r="BG56" s="11"/>
      <c r="BH56" s="11"/>
      <c r="BI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P56" s="11"/>
    </row>
    <row r="57" spans="1:9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/>
      <c r="O57" s="11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/>
      <c r="AC57" s="17"/>
      <c r="AD57" s="17"/>
      <c r="AE57" s="17"/>
      <c r="AF57" s="17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/>
      <c r="CE57"/>
      <c r="CF57"/>
      <c r="CG57"/>
      <c r="CH57"/>
      <c r="CI57"/>
      <c r="CJ57"/>
      <c r="CK57"/>
      <c r="CL57"/>
      <c r="CM57"/>
      <c r="CN57"/>
      <c r="CO57"/>
      <c r="CP57" s="11"/>
    </row>
    <row r="58" spans="1:9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/>
      <c r="O58" s="11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/>
      <c r="CE58"/>
      <c r="CF58"/>
      <c r="CG58"/>
      <c r="CH58"/>
      <c r="CI58"/>
      <c r="CJ58"/>
      <c r="CK58"/>
      <c r="CL58"/>
      <c r="CM58"/>
      <c r="CN58"/>
      <c r="CO58"/>
      <c r="CP58" s="11"/>
    </row>
    <row r="59" spans="1:9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 password="CCAE" sheet="1" objects="1" scenarios="1"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197</v>
      </c>
      <c r="F2" s="178">
        <v>2003</v>
      </c>
      <c r="G2" s="8"/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September</v>
      </c>
      <c r="AL2" s="6">
        <f>($F$2)</f>
        <v>2003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29" t="s">
        <v>115</v>
      </c>
      <c r="BI2" s="329"/>
      <c r="BK2" s="7" t="str">
        <f>($A$2)</f>
        <v>Discharge Monthly Report :</v>
      </c>
      <c r="BM2" s="7"/>
      <c r="BN2" s="7"/>
      <c r="BO2" s="7"/>
      <c r="BP2" s="7"/>
      <c r="BQ2" s="10" t="str">
        <f>($E$2)</f>
        <v>September</v>
      </c>
      <c r="BR2" s="6">
        <f>($F$2)</f>
        <v>2003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29" t="s">
        <v>136</v>
      </c>
      <c r="CM2" s="329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16" t="s">
        <v>8</v>
      </c>
      <c r="AD4" s="317"/>
      <c r="AE4" s="318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13" t="s">
        <v>1</v>
      </c>
      <c r="D5" s="314"/>
      <c r="E5" s="314"/>
      <c r="F5" s="314"/>
      <c r="G5" s="314"/>
      <c r="H5" s="314"/>
      <c r="I5" s="315"/>
      <c r="K5" s="313" t="s">
        <v>3</v>
      </c>
      <c r="L5" s="314"/>
      <c r="M5" s="315"/>
      <c r="O5" s="13"/>
      <c r="Q5" s="313" t="s">
        <v>5</v>
      </c>
      <c r="R5" s="314"/>
      <c r="S5" s="315"/>
      <c r="U5" s="313" t="s">
        <v>6</v>
      </c>
      <c r="V5" s="314"/>
      <c r="W5" s="315"/>
      <c r="Y5" s="313" t="s">
        <v>7</v>
      </c>
      <c r="Z5" s="314"/>
      <c r="AA5" s="315"/>
      <c r="AC5" s="319" t="s">
        <v>9</v>
      </c>
      <c r="AD5" s="320"/>
      <c r="AE5" s="321"/>
      <c r="AG5" s="13"/>
      <c r="AI5" s="313" t="s">
        <v>16</v>
      </c>
      <c r="AJ5" s="314"/>
      <c r="AK5" s="314"/>
      <c r="AL5" s="314"/>
      <c r="AM5" s="314"/>
      <c r="AN5" s="314"/>
      <c r="AO5" s="315"/>
      <c r="AQ5" s="313" t="s">
        <v>18</v>
      </c>
      <c r="AR5" s="314"/>
      <c r="AS5" s="314"/>
      <c r="AT5" s="314"/>
      <c r="AU5" s="314"/>
      <c r="AV5" s="315"/>
      <c r="AX5" s="313" t="s">
        <v>46</v>
      </c>
      <c r="AY5" s="314"/>
      <c r="AZ5" s="314"/>
      <c r="BA5" s="314"/>
      <c r="BB5" s="314"/>
      <c r="BC5" s="314"/>
      <c r="BD5" s="314"/>
      <c r="BE5" s="315"/>
      <c r="BG5" s="313" t="s">
        <v>99</v>
      </c>
      <c r="BH5" s="314"/>
      <c r="BI5" s="315"/>
      <c r="BK5" s="13"/>
      <c r="BM5" s="313" t="s">
        <v>116</v>
      </c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5"/>
      <c r="CE5" s="16"/>
      <c r="CF5" s="314" t="s">
        <v>144</v>
      </c>
      <c r="CG5" s="314"/>
      <c r="CH5" s="314"/>
      <c r="CI5" s="314"/>
      <c r="CJ5" s="314"/>
      <c r="CK5" s="314"/>
      <c r="CL5" s="314"/>
      <c r="CM5" s="314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26" t="s">
        <v>19</v>
      </c>
      <c r="BR7" s="327"/>
      <c r="BS7" s="328"/>
      <c r="BT7" s="22"/>
      <c r="BU7" s="326" t="s">
        <v>20</v>
      </c>
      <c r="BV7" s="327"/>
      <c r="BW7" s="327"/>
      <c r="BX7" s="328"/>
      <c r="BY7" s="22"/>
      <c r="BZ7" s="326" t="s">
        <v>135</v>
      </c>
      <c r="CA7" s="327"/>
      <c r="CB7" s="327"/>
      <c r="CC7" s="328"/>
      <c r="CE7" s="24"/>
      <c r="CF7" s="18"/>
      <c r="CG7" s="326" t="s">
        <v>27</v>
      </c>
      <c r="CH7" s="328"/>
      <c r="CI7" s="20"/>
      <c r="CJ7" s="326" t="s">
        <v>21</v>
      </c>
      <c r="CK7" s="328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34" t="s">
        <v>143</v>
      </c>
      <c r="CH9" s="334"/>
      <c r="CI9" s="20"/>
      <c r="CJ9" s="334" t="s">
        <v>143</v>
      </c>
      <c r="CK9" s="334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1">
        <v>2094210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5">
        <v>2095833</v>
      </c>
      <c r="D12" s="138">
        <f aca="true" t="shared" si="0" ref="D12:D42">(IF(C12=0," ",((C12-C11)/1000)))</f>
        <v>1.623</v>
      </c>
      <c r="E12" s="140">
        <v>3.5</v>
      </c>
      <c r="F12" s="141">
        <v>0.4</v>
      </c>
      <c r="G12" s="81" t="str">
        <f aca="true" t="shared" si="1" ref="G12:G42">(IF(C12=0," ","0.00"))</f>
        <v>0.00</v>
      </c>
      <c r="H12" s="85">
        <v>0</v>
      </c>
      <c r="I12" s="86">
        <v>0</v>
      </c>
      <c r="J12" s="11"/>
      <c r="K12" s="87" t="s">
        <v>208</v>
      </c>
      <c r="L12" s="85">
        <v>63</v>
      </c>
      <c r="M12" s="88">
        <v>0.01</v>
      </c>
      <c r="N12" s="11"/>
      <c r="O12" s="89"/>
      <c r="P12" s="11"/>
      <c r="Q12" s="108">
        <v>18</v>
      </c>
      <c r="R12" s="153">
        <v>0.22</v>
      </c>
      <c r="S12" s="109"/>
      <c r="T12" s="11"/>
      <c r="U12" s="93">
        <v>7.5</v>
      </c>
      <c r="V12" s="94">
        <v>7.1</v>
      </c>
      <c r="W12" s="95">
        <v>6.9</v>
      </c>
      <c r="X12" s="11"/>
      <c r="Y12" s="90">
        <v>17</v>
      </c>
      <c r="Z12" s="96">
        <v>18</v>
      </c>
      <c r="AA12" s="92">
        <v>19</v>
      </c>
      <c r="AB12" s="11"/>
      <c r="AC12" s="93">
        <v>8</v>
      </c>
      <c r="AD12" s="91">
        <v>0.1</v>
      </c>
      <c r="AE12" s="97">
        <v>0</v>
      </c>
      <c r="AF12" s="11"/>
      <c r="AG12" s="45">
        <f aca="true" t="shared" si="2" ref="AG12:AG42">($A12)</f>
        <v>1</v>
      </c>
      <c r="AH12" s="11"/>
      <c r="AI12" s="98"/>
      <c r="AJ12" s="55">
        <f aca="true" t="shared" si="3" ref="AJ12:AJ42">IF(AI12=0,"",(D12*AI12*8.34))</f>
      </c>
      <c r="AK12" s="98"/>
      <c r="AL12" s="55">
        <f aca="true" t="shared" si="4" ref="AL12:AL42">IF(AK12=0,"",(D12*AK12*8.34))</f>
      </c>
      <c r="AM12" s="98"/>
      <c r="AN12" s="55">
        <f aca="true" t="shared" si="5" ref="AN12:AN42">IF(AM12=0,"",(D12*AM12*8.34))</f>
      </c>
      <c r="AO12" s="99"/>
      <c r="AP12" s="11"/>
      <c r="AQ12" s="100"/>
      <c r="AR12" s="55">
        <f aca="true" t="shared" si="6" ref="AR12:AR42">IF(AQ12=0,"",(D12*AQ12*8.34))</f>
      </c>
      <c r="AS12" s="98"/>
      <c r="AT12" s="55">
        <f aca="true" t="shared" si="7" ref="AT12:AT42">IF(AS12=0,"",(D12*AS12*8.34))</f>
      </c>
      <c r="AU12" s="98"/>
      <c r="AV12" s="55">
        <f aca="true" t="shared" si="8" ref="AV12:AV42">IF(AU12=0,"",(D12*AU12*8.34))</f>
      </c>
      <c r="AW12" s="11"/>
      <c r="AX12" s="100"/>
      <c r="AY12" s="101"/>
      <c r="AZ12" s="102"/>
      <c r="BA12" s="98"/>
      <c r="BB12" s="102"/>
      <c r="BC12" s="98"/>
      <c r="BD12" s="98"/>
      <c r="BE12" s="103"/>
      <c r="BF12" s="11"/>
      <c r="BG12" s="100"/>
      <c r="BH12" s="84"/>
      <c r="BI12" s="104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6">
        <f>(IF(((SUM(AN12:AN42))=0)," ",(AVERAGE(AN12:AN42))))</f>
        <v>212.45594000000003</v>
      </c>
      <c r="BR12" s="186">
        <f>MAX(AN12:AN42)</f>
        <v>327.79535999999996</v>
      </c>
      <c r="BS12" s="26" t="s">
        <v>126</v>
      </c>
      <c r="BT12" s="26"/>
      <c r="BU12" s="186">
        <f>(IF(((SUM(AM12:AM42))=0)," ",(AVERAGE(AM12:AM42))))</f>
        <v>12.333333333333334</v>
      </c>
      <c r="BV12" s="58">
        <f>(CG23)</f>
        <v>14.333333333333334</v>
      </c>
      <c r="BW12" s="186">
        <f>MAX(AM12:AM42)</f>
        <v>17</v>
      </c>
      <c r="BX12" s="26" t="s">
        <v>128</v>
      </c>
      <c r="BY12" s="26"/>
      <c r="BZ12" s="26">
        <v>0</v>
      </c>
      <c r="CA12" s="267" t="s">
        <v>47</v>
      </c>
      <c r="CB12" s="26">
        <v>24</v>
      </c>
      <c r="CC12" s="137"/>
      <c r="CE12" s="24"/>
      <c r="CF12" s="20" t="s">
        <v>138</v>
      </c>
      <c r="CG12" s="106">
        <f>(IF(((SUM(AM12:AM18))=0)," ",(AVERAGE(AM12:AM18))))</f>
        <v>11</v>
      </c>
      <c r="CH12" s="106">
        <f>(IF(((SUM(AN12:AN18))=0)," ",(AVERAGE(AN12:AN18))))</f>
        <v>195.72034</v>
      </c>
      <c r="CI12" s="286"/>
      <c r="CJ12" s="106">
        <f>(IF(((SUM(AU12:AU18))=0)," ",(AVERAGE(AU12:AU18))))</f>
        <v>16.666666666666668</v>
      </c>
      <c r="CK12" s="106">
        <f>(IF(((SUM(AV12:AV18))=0)," ",(AVERAGE(AV12:AV18))))</f>
        <v>295.74751999999995</v>
      </c>
      <c r="CL12" s="53"/>
      <c r="CM12" s="152">
        <f>(AVERAGE(AE12:AE17))</f>
        <v>0.0033333333333333335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5">
        <v>2097622</v>
      </c>
      <c r="D13" s="138">
        <f t="shared" si="0"/>
        <v>1.789</v>
      </c>
      <c r="E13" s="140">
        <v>3.3</v>
      </c>
      <c r="F13" s="141">
        <v>0.4</v>
      </c>
      <c r="G13" s="81" t="str">
        <f t="shared" si="1"/>
        <v>0.00</v>
      </c>
      <c r="H13" s="85">
        <v>3500</v>
      </c>
      <c r="I13" s="86">
        <v>3750</v>
      </c>
      <c r="J13" s="11"/>
      <c r="K13" s="87" t="s">
        <v>208</v>
      </c>
      <c r="L13" s="85">
        <v>60</v>
      </c>
      <c r="M13" s="88">
        <v>0</v>
      </c>
      <c r="N13" s="11"/>
      <c r="O13" s="107"/>
      <c r="P13" s="11"/>
      <c r="Q13" s="108">
        <v>18</v>
      </c>
      <c r="R13" s="153">
        <v>0.28</v>
      </c>
      <c r="S13" s="109">
        <v>8</v>
      </c>
      <c r="T13" s="11"/>
      <c r="U13" s="93">
        <v>7.3</v>
      </c>
      <c r="V13" s="94">
        <v>7</v>
      </c>
      <c r="W13" s="95">
        <v>6.7</v>
      </c>
      <c r="X13" s="11"/>
      <c r="Y13" s="90">
        <v>19</v>
      </c>
      <c r="Z13" s="96">
        <v>18</v>
      </c>
      <c r="AA13" s="92">
        <v>19</v>
      </c>
      <c r="AB13" s="11"/>
      <c r="AC13" s="93">
        <v>13</v>
      </c>
      <c r="AD13" s="91">
        <v>0</v>
      </c>
      <c r="AE13" s="97">
        <v>0</v>
      </c>
      <c r="AF13" s="11"/>
      <c r="AG13" s="45">
        <f t="shared" si="2"/>
        <v>2</v>
      </c>
      <c r="AH13" s="11"/>
      <c r="AI13" s="98"/>
      <c r="AJ13" s="55">
        <f t="shared" si="3"/>
      </c>
      <c r="AK13" s="98"/>
      <c r="AL13" s="55">
        <f t="shared" si="4"/>
      </c>
      <c r="AM13" s="98"/>
      <c r="AN13" s="55">
        <f t="shared" si="5"/>
      </c>
      <c r="AO13" s="110"/>
      <c r="AP13" s="11"/>
      <c r="AQ13" s="100"/>
      <c r="AR13" s="55">
        <f t="shared" si="6"/>
      </c>
      <c r="AS13" s="98"/>
      <c r="AT13" s="55">
        <f t="shared" si="7"/>
      </c>
      <c r="AU13" s="98"/>
      <c r="AV13" s="55">
        <f t="shared" si="8"/>
      </c>
      <c r="AW13" s="11"/>
      <c r="AX13" s="100">
        <v>54442</v>
      </c>
      <c r="AY13" s="101">
        <v>3</v>
      </c>
      <c r="AZ13" s="102">
        <v>3.5</v>
      </c>
      <c r="BA13" s="98">
        <v>37.2</v>
      </c>
      <c r="BB13" s="102">
        <v>33</v>
      </c>
      <c r="BC13" s="98">
        <v>24</v>
      </c>
      <c r="BD13" s="98">
        <v>4253</v>
      </c>
      <c r="BE13" s="103">
        <v>12.26</v>
      </c>
      <c r="BF13" s="11"/>
      <c r="BG13" s="100">
        <v>24</v>
      </c>
      <c r="BH13" s="84" t="s">
        <v>224</v>
      </c>
      <c r="BI13" s="104" t="s">
        <v>225</v>
      </c>
      <c r="BJ13" s="11"/>
      <c r="BK13" s="17"/>
      <c r="BL13" s="19"/>
      <c r="BM13" s="26" t="s">
        <v>86</v>
      </c>
      <c r="BN13" s="20"/>
      <c r="BO13" s="154" t="s">
        <v>131</v>
      </c>
      <c r="BP13" s="26"/>
      <c r="BQ13" s="268">
        <v>963</v>
      </c>
      <c r="BR13" s="268">
        <v>1605</v>
      </c>
      <c r="BS13" s="155" t="s">
        <v>126</v>
      </c>
      <c r="BT13" s="26"/>
      <c r="BU13" s="268">
        <v>30</v>
      </c>
      <c r="BV13" s="269">
        <v>45</v>
      </c>
      <c r="BW13" s="268">
        <v>50</v>
      </c>
      <c r="BX13" s="155" t="s">
        <v>128</v>
      </c>
      <c r="BY13" s="26"/>
      <c r="BZ13" s="270" t="s">
        <v>150</v>
      </c>
      <c r="CA13" s="271" t="s">
        <v>47</v>
      </c>
      <c r="CB13" s="155">
        <v>24</v>
      </c>
      <c r="CC13" s="137"/>
      <c r="CE13" s="24"/>
      <c r="CF13" s="20"/>
      <c r="CG13" s="286"/>
      <c r="CH13" s="286"/>
      <c r="CI13" s="286"/>
      <c r="CJ13" s="286"/>
      <c r="CK13" s="286"/>
      <c r="CL13" s="53"/>
      <c r="CM13" s="287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5">
        <v>2099507</v>
      </c>
      <c r="D14" s="138">
        <f t="shared" si="0"/>
        <v>1.885</v>
      </c>
      <c r="E14" s="140">
        <v>5.2</v>
      </c>
      <c r="F14" s="141">
        <v>0.4</v>
      </c>
      <c r="G14" s="81" t="str">
        <f t="shared" si="1"/>
        <v>0.00</v>
      </c>
      <c r="H14" s="85">
        <v>2300</v>
      </c>
      <c r="I14" s="86">
        <v>9250</v>
      </c>
      <c r="K14" s="87" t="s">
        <v>210</v>
      </c>
      <c r="L14" s="85">
        <v>58</v>
      </c>
      <c r="M14" s="88">
        <v>0.03</v>
      </c>
      <c r="O14" s="107"/>
      <c r="Q14" s="108">
        <v>21</v>
      </c>
      <c r="R14" s="153">
        <v>0.23</v>
      </c>
      <c r="S14" s="109">
        <v>3</v>
      </c>
      <c r="U14" s="93">
        <v>7.4</v>
      </c>
      <c r="V14" s="94">
        <v>7.1</v>
      </c>
      <c r="W14" s="95">
        <v>6.9</v>
      </c>
      <c r="Y14" s="90">
        <v>19</v>
      </c>
      <c r="Z14" s="96">
        <v>19</v>
      </c>
      <c r="AA14" s="92">
        <v>19</v>
      </c>
      <c r="AC14" s="93">
        <v>9.5</v>
      </c>
      <c r="AD14" s="91">
        <v>0.01</v>
      </c>
      <c r="AE14" s="97">
        <v>0</v>
      </c>
      <c r="AG14" s="45">
        <f t="shared" si="2"/>
        <v>3</v>
      </c>
      <c r="AI14" s="98">
        <v>243</v>
      </c>
      <c r="AJ14" s="55">
        <f t="shared" si="3"/>
        <v>3820.1787</v>
      </c>
      <c r="AK14" s="98"/>
      <c r="AL14" s="55">
        <f t="shared" si="4"/>
      </c>
      <c r="AM14" s="98">
        <v>10</v>
      </c>
      <c r="AN14" s="55">
        <f t="shared" si="5"/>
        <v>157.209</v>
      </c>
      <c r="AO14" s="110">
        <v>8</v>
      </c>
      <c r="AQ14" s="100">
        <v>298</v>
      </c>
      <c r="AR14" s="55">
        <f t="shared" si="6"/>
        <v>4684.8282</v>
      </c>
      <c r="AS14" s="98"/>
      <c r="AT14" s="55">
        <f t="shared" si="7"/>
      </c>
      <c r="AU14" s="98">
        <v>15</v>
      </c>
      <c r="AV14" s="55">
        <f t="shared" si="8"/>
        <v>235.81349999999998</v>
      </c>
      <c r="AX14" s="100"/>
      <c r="AY14" s="101"/>
      <c r="AZ14" s="102"/>
      <c r="BA14" s="98"/>
      <c r="BB14" s="102"/>
      <c r="BC14" s="98"/>
      <c r="BD14" s="98"/>
      <c r="BE14" s="103"/>
      <c r="BG14" s="100"/>
      <c r="BH14" s="84"/>
      <c r="BI14" s="10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6">
        <f>(IF(((SUM(AM19:AM25))=0)," ",(AVERAGE(AM19:AM25))))</f>
        <v>10.333333333333334</v>
      </c>
      <c r="CH14" s="106">
        <f>(IF(((SUM(AN19:AN25))=0)," ",(AVERAGE(AN19:AN25))))</f>
        <v>165.84368</v>
      </c>
      <c r="CI14" s="286"/>
      <c r="CJ14" s="106">
        <f>(IF(((SUM(AU19:AU25))=0)," ",(AVERAGE(AU19:AU25))))</f>
        <v>15.666666666666666</v>
      </c>
      <c r="CK14" s="106">
        <f>(IF(((SUM(AV19:AV25))=0)," ",(AVERAGE(AV19:AV25))))</f>
        <v>250.27506000000002</v>
      </c>
      <c r="CL14" s="53"/>
      <c r="CM14" s="152">
        <f>(AVERAGE(AE18:AE24))</f>
        <v>0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5">
        <v>2101502</v>
      </c>
      <c r="D15" s="138">
        <f t="shared" si="0"/>
        <v>1.995</v>
      </c>
      <c r="E15" s="140">
        <v>7.3</v>
      </c>
      <c r="F15" s="141">
        <v>0.5</v>
      </c>
      <c r="G15" s="81" t="str">
        <f t="shared" si="1"/>
        <v>0.00</v>
      </c>
      <c r="H15" s="85">
        <v>2900</v>
      </c>
      <c r="I15" s="86">
        <v>8000</v>
      </c>
      <c r="K15" s="87" t="s">
        <v>213</v>
      </c>
      <c r="L15" s="85">
        <v>61</v>
      </c>
      <c r="M15" s="88">
        <v>1.64</v>
      </c>
      <c r="O15" s="107"/>
      <c r="Q15" s="108">
        <v>23</v>
      </c>
      <c r="R15" s="153">
        <v>0.22</v>
      </c>
      <c r="S15" s="109">
        <v>310</v>
      </c>
      <c r="U15" s="93">
        <v>7.2</v>
      </c>
      <c r="V15" s="94">
        <v>7.1</v>
      </c>
      <c r="W15" s="95">
        <v>6.8</v>
      </c>
      <c r="Y15" s="90">
        <v>18</v>
      </c>
      <c r="Z15" s="96">
        <v>18</v>
      </c>
      <c r="AA15" s="92">
        <v>19</v>
      </c>
      <c r="AC15" s="93">
        <v>9.5</v>
      </c>
      <c r="AD15" s="91">
        <v>0.3</v>
      </c>
      <c r="AE15" s="97">
        <v>0.01</v>
      </c>
      <c r="AG15" s="45">
        <f t="shared" si="2"/>
        <v>4</v>
      </c>
      <c r="AI15" s="98">
        <v>307</v>
      </c>
      <c r="AJ15" s="55">
        <f t="shared" si="3"/>
        <v>5107.9581</v>
      </c>
      <c r="AK15" s="98"/>
      <c r="AL15" s="55">
        <f t="shared" si="4"/>
      </c>
      <c r="AM15" s="98">
        <v>10</v>
      </c>
      <c r="AN15" s="55">
        <f t="shared" si="5"/>
        <v>166.383</v>
      </c>
      <c r="AO15" s="110">
        <v>6</v>
      </c>
      <c r="AQ15" s="100">
        <v>316</v>
      </c>
      <c r="AR15" s="55">
        <f t="shared" si="6"/>
        <v>5257.702800000001</v>
      </c>
      <c r="AS15" s="98"/>
      <c r="AT15" s="55">
        <f t="shared" si="7"/>
      </c>
      <c r="AU15" s="98">
        <v>16</v>
      </c>
      <c r="AV15" s="55">
        <f t="shared" si="8"/>
        <v>266.2128</v>
      </c>
      <c r="AX15" s="100">
        <v>61583</v>
      </c>
      <c r="AY15" s="101">
        <v>3</v>
      </c>
      <c r="AZ15" s="102">
        <v>3.75</v>
      </c>
      <c r="BA15" s="98">
        <v>37.2</v>
      </c>
      <c r="BB15" s="102">
        <v>32</v>
      </c>
      <c r="BC15" s="98">
        <v>24</v>
      </c>
      <c r="BD15" s="98">
        <v>2363</v>
      </c>
      <c r="BE15" s="103">
        <v>12.32</v>
      </c>
      <c r="BG15" s="100">
        <v>24</v>
      </c>
      <c r="BH15" s="84" t="s">
        <v>224</v>
      </c>
      <c r="BI15" s="104" t="s">
        <v>225</v>
      </c>
      <c r="CE15" s="24"/>
      <c r="CF15" s="20"/>
      <c r="CG15" s="286"/>
      <c r="CH15" s="286"/>
      <c r="CI15" s="286"/>
      <c r="CJ15" s="286"/>
      <c r="CK15" s="286"/>
      <c r="CL15" s="53"/>
      <c r="CM15" s="287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3">
        <v>2103933</v>
      </c>
      <c r="D16" s="139">
        <f t="shared" si="0"/>
        <v>2.431</v>
      </c>
      <c r="E16" s="142">
        <v>3.7</v>
      </c>
      <c r="F16" s="143">
        <v>0.4</v>
      </c>
      <c r="G16" s="184" t="str">
        <f t="shared" si="1"/>
        <v>0.00</v>
      </c>
      <c r="H16" s="113">
        <v>1000</v>
      </c>
      <c r="I16" s="114">
        <v>9550</v>
      </c>
      <c r="K16" s="115" t="s">
        <v>210</v>
      </c>
      <c r="L16" s="113">
        <v>66</v>
      </c>
      <c r="M16" s="116">
        <v>0</v>
      </c>
      <c r="O16" s="117"/>
      <c r="Q16" s="257">
        <v>23</v>
      </c>
      <c r="R16" s="258">
        <v>0.24</v>
      </c>
      <c r="S16" s="263"/>
      <c r="U16" s="118">
        <v>7.1</v>
      </c>
      <c r="V16" s="119">
        <v>7.1</v>
      </c>
      <c r="W16" s="120">
        <v>6.8</v>
      </c>
      <c r="Y16" s="121">
        <v>19</v>
      </c>
      <c r="Z16" s="122">
        <v>18</v>
      </c>
      <c r="AA16" s="123">
        <v>19</v>
      </c>
      <c r="AC16" s="118">
        <v>6</v>
      </c>
      <c r="AD16" s="124">
        <v>0.1</v>
      </c>
      <c r="AE16" s="125">
        <v>0.01</v>
      </c>
      <c r="AG16" s="45">
        <f t="shared" si="2"/>
        <v>5</v>
      </c>
      <c r="AI16" s="126">
        <v>295</v>
      </c>
      <c r="AJ16" s="65">
        <f t="shared" si="3"/>
        <v>5980.9893</v>
      </c>
      <c r="AK16" s="126">
        <v>198</v>
      </c>
      <c r="AL16" s="65">
        <f t="shared" si="4"/>
        <v>4014.35892</v>
      </c>
      <c r="AM16" s="126">
        <v>13</v>
      </c>
      <c r="AN16" s="65">
        <f t="shared" si="5"/>
        <v>263.56902</v>
      </c>
      <c r="AO16" s="127">
        <v>8</v>
      </c>
      <c r="AQ16" s="128">
        <v>170</v>
      </c>
      <c r="AR16" s="65">
        <f t="shared" si="6"/>
        <v>3446.6717999999996</v>
      </c>
      <c r="AS16" s="126">
        <v>82</v>
      </c>
      <c r="AT16" s="65">
        <f t="shared" si="7"/>
        <v>1662.5122800000001</v>
      </c>
      <c r="AU16" s="126">
        <v>19</v>
      </c>
      <c r="AV16" s="65">
        <f t="shared" si="8"/>
        <v>385.21626</v>
      </c>
      <c r="AX16" s="128"/>
      <c r="AY16" s="129"/>
      <c r="AZ16" s="130"/>
      <c r="BA16" s="126"/>
      <c r="BB16" s="130"/>
      <c r="BC16" s="126"/>
      <c r="BD16" s="126"/>
      <c r="BE16" s="131"/>
      <c r="BG16" s="128"/>
      <c r="BH16" s="111"/>
      <c r="BI16" s="132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6">
        <f>(IF(((SUM(AM26:AM32))=0)," ",(AVERAGE(AM26:AM32))))</f>
        <v>14.333333333333334</v>
      </c>
      <c r="CH16" s="106">
        <f>(IF(((SUM(AN26:AN32))=0)," ",(AVERAGE(AN26:AN32))))</f>
        <v>252.23496</v>
      </c>
      <c r="CI16" s="286"/>
      <c r="CJ16" s="106">
        <f>(IF(((SUM(AU26:AU32))=0)," ",(AVERAGE(AU26:AU32))))</f>
        <v>23</v>
      </c>
      <c r="CK16" s="106">
        <f>(IF(((SUM(AV26:AV32))=0)," ",(AVERAGE(AV26:AV32))))</f>
        <v>401.92962000000006</v>
      </c>
      <c r="CL16" s="53"/>
      <c r="CM16" s="152">
        <f>(AVERAGE(AE25:AE31))</f>
        <v>0.004285714285714286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5">
        <v>2105863</v>
      </c>
      <c r="D17" s="138">
        <f t="shared" si="0"/>
        <v>1.93</v>
      </c>
      <c r="E17" s="140">
        <v>3.4</v>
      </c>
      <c r="F17" s="141">
        <v>0.4</v>
      </c>
      <c r="G17" s="81" t="str">
        <f t="shared" si="1"/>
        <v>0.00</v>
      </c>
      <c r="H17" s="85">
        <v>0</v>
      </c>
      <c r="I17" s="86">
        <v>5750</v>
      </c>
      <c r="K17" s="87" t="s">
        <v>210</v>
      </c>
      <c r="L17" s="85">
        <v>64</v>
      </c>
      <c r="M17" s="88">
        <v>0</v>
      </c>
      <c r="O17" s="107"/>
      <c r="Q17" s="108">
        <v>18</v>
      </c>
      <c r="R17" s="153">
        <v>0.22</v>
      </c>
      <c r="S17" s="109"/>
      <c r="U17" s="93">
        <v>7.4</v>
      </c>
      <c r="V17" s="94">
        <v>7</v>
      </c>
      <c r="W17" s="95">
        <v>6.7</v>
      </c>
      <c r="Y17" s="90">
        <v>19</v>
      </c>
      <c r="Z17" s="96">
        <v>18</v>
      </c>
      <c r="AA17" s="92">
        <v>19</v>
      </c>
      <c r="AC17" s="93">
        <v>3.5</v>
      </c>
      <c r="AD17" s="91">
        <v>0.01</v>
      </c>
      <c r="AE17" s="97">
        <v>0</v>
      </c>
      <c r="AG17" s="45">
        <f t="shared" si="2"/>
        <v>6</v>
      </c>
      <c r="AI17" s="98"/>
      <c r="AJ17" s="55">
        <f t="shared" si="3"/>
      </c>
      <c r="AK17" s="98"/>
      <c r="AL17" s="55">
        <f t="shared" si="4"/>
      </c>
      <c r="AM17" s="98"/>
      <c r="AN17" s="55">
        <f t="shared" si="5"/>
      </c>
      <c r="AO17" s="110"/>
      <c r="AQ17" s="100"/>
      <c r="AR17" s="55">
        <f t="shared" si="6"/>
      </c>
      <c r="AS17" s="98"/>
      <c r="AT17" s="55">
        <f t="shared" si="7"/>
      </c>
      <c r="AU17" s="98"/>
      <c r="AV17" s="55">
        <f t="shared" si="8"/>
      </c>
      <c r="AX17" s="100"/>
      <c r="AY17" s="101"/>
      <c r="AZ17" s="102"/>
      <c r="BA17" s="98"/>
      <c r="BB17" s="102"/>
      <c r="BC17" s="98"/>
      <c r="BD17" s="98"/>
      <c r="BE17" s="103"/>
      <c r="BG17" s="100"/>
      <c r="BH17" s="84"/>
      <c r="BI17" s="104"/>
      <c r="BK17" s="17"/>
      <c r="BL17" s="19"/>
      <c r="BM17" s="56" t="s">
        <v>111</v>
      </c>
      <c r="BN17" s="20"/>
      <c r="BO17" s="57" t="s">
        <v>130</v>
      </c>
      <c r="BP17" s="26"/>
      <c r="BQ17" s="272" t="s">
        <v>150</v>
      </c>
      <c r="BR17" s="272" t="s">
        <v>150</v>
      </c>
      <c r="BS17" s="272" t="s">
        <v>150</v>
      </c>
      <c r="BT17" s="26"/>
      <c r="BU17" s="68">
        <f>MIN(W12:W42)</f>
        <v>6.5</v>
      </c>
      <c r="BV17" s="272" t="s">
        <v>150</v>
      </c>
      <c r="BW17" s="68">
        <f>MAX(W12:W42)</f>
        <v>7</v>
      </c>
      <c r="BX17" s="26" t="s">
        <v>43</v>
      </c>
      <c r="BY17" s="26"/>
      <c r="BZ17" s="26">
        <v>0</v>
      </c>
      <c r="CA17" s="267" t="s">
        <v>48</v>
      </c>
      <c r="CB17" s="26" t="s">
        <v>23</v>
      </c>
      <c r="CC17" s="137"/>
      <c r="CE17" s="69"/>
      <c r="CF17" s="20"/>
      <c r="CG17" s="286"/>
      <c r="CH17" s="286"/>
      <c r="CI17" s="286"/>
      <c r="CJ17" s="286"/>
      <c r="CK17" s="286"/>
      <c r="CL17" s="20"/>
      <c r="CM17" s="287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5">
        <v>2107688</v>
      </c>
      <c r="D18" s="138">
        <f t="shared" si="0"/>
        <v>1.825</v>
      </c>
      <c r="E18" s="140">
        <v>3.4</v>
      </c>
      <c r="F18" s="141">
        <v>0.4</v>
      </c>
      <c r="G18" s="81" t="str">
        <f t="shared" si="1"/>
        <v>0.00</v>
      </c>
      <c r="H18" s="85">
        <v>0</v>
      </c>
      <c r="I18" s="86">
        <v>1000</v>
      </c>
      <c r="K18" s="87" t="s">
        <v>210</v>
      </c>
      <c r="L18" s="85">
        <v>65</v>
      </c>
      <c r="M18" s="88">
        <v>0</v>
      </c>
      <c r="O18" s="107"/>
      <c r="Q18" s="108">
        <v>17</v>
      </c>
      <c r="R18" s="153">
        <v>0.21</v>
      </c>
      <c r="S18" s="109"/>
      <c r="U18" s="93">
        <v>7.4</v>
      </c>
      <c r="V18" s="94">
        <v>7</v>
      </c>
      <c r="W18" s="95">
        <v>6.8</v>
      </c>
      <c r="Y18" s="90">
        <v>17</v>
      </c>
      <c r="Z18" s="96">
        <v>18</v>
      </c>
      <c r="AA18" s="92">
        <v>19</v>
      </c>
      <c r="AC18" s="93">
        <v>7</v>
      </c>
      <c r="AD18" s="91">
        <v>0.01</v>
      </c>
      <c r="AE18" s="97">
        <v>0</v>
      </c>
      <c r="AG18" s="45">
        <f t="shared" si="2"/>
        <v>7</v>
      </c>
      <c r="AI18" s="98"/>
      <c r="AJ18" s="55">
        <f t="shared" si="3"/>
      </c>
      <c r="AK18" s="98"/>
      <c r="AL18" s="55">
        <f t="shared" si="4"/>
      </c>
      <c r="AM18" s="98"/>
      <c r="AN18" s="55">
        <f t="shared" si="5"/>
      </c>
      <c r="AO18" s="110"/>
      <c r="AQ18" s="100"/>
      <c r="AR18" s="55">
        <f t="shared" si="6"/>
      </c>
      <c r="AS18" s="98"/>
      <c r="AT18" s="55">
        <f t="shared" si="7"/>
      </c>
      <c r="AU18" s="98"/>
      <c r="AV18" s="55">
        <f t="shared" si="8"/>
      </c>
      <c r="AX18" s="100"/>
      <c r="AY18" s="101"/>
      <c r="AZ18" s="102"/>
      <c r="BA18" s="98"/>
      <c r="BB18" s="102"/>
      <c r="BC18" s="98"/>
      <c r="BD18" s="98"/>
      <c r="BE18" s="103"/>
      <c r="BG18" s="100"/>
      <c r="BH18" s="84"/>
      <c r="BI18" s="104"/>
      <c r="BK18" s="17"/>
      <c r="BL18" s="19"/>
      <c r="BM18" s="26" t="s">
        <v>86</v>
      </c>
      <c r="BN18" s="20"/>
      <c r="BO18" s="154" t="s">
        <v>131</v>
      </c>
      <c r="BP18" s="26"/>
      <c r="BQ18" s="270" t="s">
        <v>150</v>
      </c>
      <c r="BR18" s="270" t="s">
        <v>150</v>
      </c>
      <c r="BS18" s="270" t="s">
        <v>150</v>
      </c>
      <c r="BT18" s="26"/>
      <c r="BU18" s="273">
        <v>6</v>
      </c>
      <c r="BV18" s="270" t="s">
        <v>150</v>
      </c>
      <c r="BW18" s="155">
        <v>8.5</v>
      </c>
      <c r="BX18" s="155" t="s">
        <v>43</v>
      </c>
      <c r="BY18" s="26"/>
      <c r="BZ18" s="270" t="s">
        <v>150</v>
      </c>
      <c r="CA18" s="271" t="s">
        <v>48</v>
      </c>
      <c r="CB18" s="155" t="s">
        <v>23</v>
      </c>
      <c r="CC18" s="137"/>
      <c r="CE18" s="69"/>
      <c r="CF18" s="20" t="s">
        <v>141</v>
      </c>
      <c r="CG18" s="106">
        <f>(IF(((SUM(AM33:AM39))=0)," ",(AVERAGE(AM33:AM39))))</f>
        <v>13.666666666666666</v>
      </c>
      <c r="CH18" s="106">
        <f>(IF(((SUM(AN33:AN39))=0)," ",(AVERAGE(AN33:AN39))))</f>
        <v>236.02478</v>
      </c>
      <c r="CI18" s="286"/>
      <c r="CJ18" s="106">
        <f>(IF(((SUM(AU33:AU39))=0)," ",(AVERAGE(AU33:AU39))))</f>
        <v>26</v>
      </c>
      <c r="CK18" s="106">
        <f>(IF(((SUM(AV33:AV39))=0)," ",(AVERAGE(AV33:AV39))))</f>
        <v>450.1793</v>
      </c>
      <c r="CL18" s="20"/>
      <c r="CM18" s="152">
        <f>(AVERAGE(AE32:AE38))</f>
        <v>0.002857142857142857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5">
        <v>2109513</v>
      </c>
      <c r="D19" s="138">
        <f t="shared" si="0"/>
        <v>1.825</v>
      </c>
      <c r="E19" s="140">
        <v>4.3</v>
      </c>
      <c r="F19" s="141">
        <v>0.4</v>
      </c>
      <c r="G19" s="81" t="str">
        <f t="shared" si="1"/>
        <v>0.00</v>
      </c>
      <c r="H19" s="85">
        <v>2100</v>
      </c>
      <c r="I19" s="86">
        <v>9500</v>
      </c>
      <c r="K19" s="87" t="s">
        <v>210</v>
      </c>
      <c r="L19" s="85">
        <v>61</v>
      </c>
      <c r="M19" s="88">
        <v>0</v>
      </c>
      <c r="O19" s="107"/>
      <c r="Q19" s="108">
        <v>18</v>
      </c>
      <c r="R19" s="153">
        <v>0.28</v>
      </c>
      <c r="S19" s="109">
        <v>58</v>
      </c>
      <c r="U19" s="93">
        <v>7.5</v>
      </c>
      <c r="V19" s="94">
        <v>7</v>
      </c>
      <c r="W19" s="95">
        <v>6.7</v>
      </c>
      <c r="Y19" s="90">
        <v>19</v>
      </c>
      <c r="Z19" s="96">
        <v>18</v>
      </c>
      <c r="AA19" s="92">
        <v>19</v>
      </c>
      <c r="AC19" s="93">
        <v>5</v>
      </c>
      <c r="AD19" s="91">
        <v>0</v>
      </c>
      <c r="AE19" s="97">
        <v>0</v>
      </c>
      <c r="AG19" s="45">
        <f t="shared" si="2"/>
        <v>8</v>
      </c>
      <c r="AI19" s="98"/>
      <c r="AJ19" s="55">
        <f t="shared" si="3"/>
      </c>
      <c r="AK19" s="98"/>
      <c r="AL19" s="55">
        <f t="shared" si="4"/>
      </c>
      <c r="AM19" s="98"/>
      <c r="AN19" s="55">
        <f t="shared" si="5"/>
      </c>
      <c r="AO19" s="110"/>
      <c r="AQ19" s="100"/>
      <c r="AR19" s="55">
        <f t="shared" si="6"/>
      </c>
      <c r="AS19" s="98"/>
      <c r="AT19" s="55">
        <f t="shared" si="7"/>
      </c>
      <c r="AU19" s="98"/>
      <c r="AV19" s="55">
        <f t="shared" si="8"/>
      </c>
      <c r="AX19" s="100">
        <v>83407</v>
      </c>
      <c r="AY19" s="101">
        <v>2</v>
      </c>
      <c r="AZ19" s="102">
        <v>4.75</v>
      </c>
      <c r="BA19" s="98">
        <v>52.7</v>
      </c>
      <c r="BB19" s="102">
        <v>33</v>
      </c>
      <c r="BC19" s="98">
        <v>36</v>
      </c>
      <c r="BD19" s="98">
        <v>2850</v>
      </c>
      <c r="BE19" s="103">
        <v>12.42</v>
      </c>
      <c r="BG19" s="100">
        <v>36</v>
      </c>
      <c r="BH19" s="84" t="s">
        <v>224</v>
      </c>
      <c r="BI19" s="104" t="s">
        <v>225</v>
      </c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86"/>
      <c r="CH19" s="286"/>
      <c r="CI19" s="286"/>
      <c r="CJ19" s="286"/>
      <c r="CK19" s="286"/>
      <c r="CL19" s="20"/>
      <c r="CM19" s="287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5">
        <v>2112029</v>
      </c>
      <c r="D20" s="138">
        <f t="shared" si="0"/>
        <v>2.516</v>
      </c>
      <c r="E20" s="140">
        <v>4.2</v>
      </c>
      <c r="F20" s="141">
        <v>0.4</v>
      </c>
      <c r="G20" s="81" t="str">
        <f t="shared" si="1"/>
        <v>0.00</v>
      </c>
      <c r="H20" s="85">
        <v>11400</v>
      </c>
      <c r="I20" s="86">
        <v>10000</v>
      </c>
      <c r="K20" s="87" t="s">
        <v>210</v>
      </c>
      <c r="L20" s="85">
        <v>56</v>
      </c>
      <c r="M20" s="88">
        <v>0</v>
      </c>
      <c r="O20" s="107"/>
      <c r="Q20" s="108">
        <v>25</v>
      </c>
      <c r="R20" s="153">
        <v>0.2</v>
      </c>
      <c r="S20" s="109">
        <v>15</v>
      </c>
      <c r="U20" s="93">
        <v>7.3</v>
      </c>
      <c r="V20" s="94">
        <v>7.1</v>
      </c>
      <c r="W20" s="95">
        <v>7</v>
      </c>
      <c r="Y20" s="90">
        <v>19</v>
      </c>
      <c r="Z20" s="96">
        <v>19</v>
      </c>
      <c r="AA20" s="92">
        <v>19</v>
      </c>
      <c r="AC20" s="93">
        <v>12</v>
      </c>
      <c r="AD20" s="91">
        <v>0</v>
      </c>
      <c r="AE20" s="97">
        <v>0</v>
      </c>
      <c r="AG20" s="45">
        <f t="shared" si="2"/>
        <v>9</v>
      </c>
      <c r="AI20" s="98"/>
      <c r="AJ20" s="55">
        <f t="shared" si="3"/>
      </c>
      <c r="AK20" s="98"/>
      <c r="AL20" s="55">
        <f t="shared" si="4"/>
      </c>
      <c r="AM20" s="98"/>
      <c r="AN20" s="55">
        <f t="shared" si="5"/>
      </c>
      <c r="AO20" s="110"/>
      <c r="AQ20" s="100"/>
      <c r="AR20" s="55">
        <f t="shared" si="6"/>
      </c>
      <c r="AS20" s="98"/>
      <c r="AT20" s="55">
        <f t="shared" si="7"/>
      </c>
      <c r="AU20" s="98"/>
      <c r="AV20" s="55">
        <f t="shared" si="8"/>
      </c>
      <c r="AX20" s="100"/>
      <c r="AY20" s="101"/>
      <c r="AZ20" s="102"/>
      <c r="BA20" s="98"/>
      <c r="BB20" s="102"/>
      <c r="BC20" s="98"/>
      <c r="BD20" s="98"/>
      <c r="BE20" s="103"/>
      <c r="BG20" s="100"/>
      <c r="BH20" s="84"/>
      <c r="BI20" s="104"/>
      <c r="CE20" s="69"/>
      <c r="CF20" s="20" t="s">
        <v>142</v>
      </c>
      <c r="CG20" s="106"/>
      <c r="CH20" s="106"/>
      <c r="CI20" s="286"/>
      <c r="CJ20" s="106"/>
      <c r="CK20" s="106"/>
      <c r="CL20" s="20"/>
      <c r="CM20" s="152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3">
        <v>2114060</v>
      </c>
      <c r="D21" s="139">
        <f t="shared" si="0"/>
        <v>2.031</v>
      </c>
      <c r="E21" s="142">
        <v>3.6</v>
      </c>
      <c r="F21" s="143">
        <v>0.4</v>
      </c>
      <c r="G21" s="184" t="str">
        <f t="shared" si="1"/>
        <v>0.00</v>
      </c>
      <c r="H21" s="113">
        <v>1000</v>
      </c>
      <c r="I21" s="114">
        <v>9500</v>
      </c>
      <c r="K21" s="115" t="s">
        <v>210</v>
      </c>
      <c r="L21" s="113">
        <v>58</v>
      </c>
      <c r="M21" s="116">
        <v>0</v>
      </c>
      <c r="O21" s="117"/>
      <c r="Q21" s="257">
        <v>21</v>
      </c>
      <c r="R21" s="258">
        <v>0.18</v>
      </c>
      <c r="S21" s="263">
        <v>6</v>
      </c>
      <c r="U21" s="118">
        <v>7.5</v>
      </c>
      <c r="V21" s="119">
        <v>7.1</v>
      </c>
      <c r="W21" s="120">
        <v>6.9</v>
      </c>
      <c r="Y21" s="121">
        <v>18</v>
      </c>
      <c r="Z21" s="122">
        <v>18</v>
      </c>
      <c r="AA21" s="123">
        <v>18</v>
      </c>
      <c r="AC21" s="118">
        <v>6.5</v>
      </c>
      <c r="AD21" s="124">
        <v>0</v>
      </c>
      <c r="AE21" s="125">
        <v>0</v>
      </c>
      <c r="AG21" s="45">
        <f t="shared" si="2"/>
        <v>10</v>
      </c>
      <c r="AI21" s="126">
        <v>377</v>
      </c>
      <c r="AJ21" s="65">
        <f t="shared" si="3"/>
        <v>6385.82958</v>
      </c>
      <c r="AK21" s="126"/>
      <c r="AL21" s="65">
        <f t="shared" si="4"/>
      </c>
      <c r="AM21" s="126">
        <v>12</v>
      </c>
      <c r="AN21" s="65">
        <f t="shared" si="5"/>
        <v>203.26247999999998</v>
      </c>
      <c r="AO21" s="127">
        <v>9</v>
      </c>
      <c r="AQ21" s="128">
        <v>448</v>
      </c>
      <c r="AR21" s="65">
        <f t="shared" si="6"/>
        <v>7588.465920000001</v>
      </c>
      <c r="AS21" s="126"/>
      <c r="AT21" s="65">
        <f t="shared" si="7"/>
      </c>
      <c r="AU21" s="126">
        <v>16</v>
      </c>
      <c r="AV21" s="65">
        <f t="shared" si="8"/>
        <v>271.01664</v>
      </c>
      <c r="AX21" s="128"/>
      <c r="AY21" s="129"/>
      <c r="AZ21" s="130"/>
      <c r="BA21" s="126"/>
      <c r="BB21" s="130"/>
      <c r="BC21" s="126"/>
      <c r="BD21" s="126"/>
      <c r="BE21" s="131"/>
      <c r="BG21" s="128"/>
      <c r="BH21" s="111"/>
      <c r="BI21" s="132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2"/>
      <c r="CH21" s="162"/>
      <c r="CI21" s="162"/>
      <c r="CJ21" s="162"/>
      <c r="CK21" s="162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5">
        <v>2115946</v>
      </c>
      <c r="D22" s="138">
        <f t="shared" si="0"/>
        <v>1.886</v>
      </c>
      <c r="E22" s="140">
        <v>3.7</v>
      </c>
      <c r="F22" s="141">
        <v>0.4</v>
      </c>
      <c r="G22" s="81" t="str">
        <f t="shared" si="1"/>
        <v>0.00</v>
      </c>
      <c r="H22" s="85">
        <v>500</v>
      </c>
      <c r="I22" s="86">
        <v>4000</v>
      </c>
      <c r="K22" s="87" t="s">
        <v>210</v>
      </c>
      <c r="L22" s="85">
        <v>62</v>
      </c>
      <c r="M22" s="88">
        <v>0</v>
      </c>
      <c r="O22" s="107"/>
      <c r="Q22" s="108">
        <v>21</v>
      </c>
      <c r="R22" s="153">
        <v>0.2</v>
      </c>
      <c r="S22" s="109"/>
      <c r="U22" s="93">
        <v>7.4</v>
      </c>
      <c r="V22" s="94">
        <v>6.6</v>
      </c>
      <c r="W22" s="95">
        <v>6.7</v>
      </c>
      <c r="Y22" s="90">
        <v>19</v>
      </c>
      <c r="Z22" s="96">
        <v>19</v>
      </c>
      <c r="AA22" s="92">
        <v>20</v>
      </c>
      <c r="AC22" s="93">
        <v>17.5</v>
      </c>
      <c r="AD22" s="91">
        <v>0.4</v>
      </c>
      <c r="AE22" s="97">
        <v>0</v>
      </c>
      <c r="AG22" s="45">
        <f t="shared" si="2"/>
        <v>11</v>
      </c>
      <c r="AI22" s="98">
        <v>333</v>
      </c>
      <c r="AJ22" s="55">
        <f t="shared" si="3"/>
        <v>5237.83692</v>
      </c>
      <c r="AK22" s="98"/>
      <c r="AL22" s="55">
        <f t="shared" si="4"/>
      </c>
      <c r="AM22" s="98">
        <v>9</v>
      </c>
      <c r="AN22" s="55">
        <f t="shared" si="5"/>
        <v>141.56316</v>
      </c>
      <c r="AO22" s="110">
        <v>6</v>
      </c>
      <c r="AQ22" s="100">
        <v>340</v>
      </c>
      <c r="AR22" s="55">
        <f t="shared" si="6"/>
        <v>5347.9416</v>
      </c>
      <c r="AS22" s="98"/>
      <c r="AT22" s="55">
        <f t="shared" si="7"/>
      </c>
      <c r="AU22" s="98">
        <v>14</v>
      </c>
      <c r="AV22" s="55">
        <f t="shared" si="8"/>
        <v>220.20936</v>
      </c>
      <c r="AX22" s="100">
        <v>58859</v>
      </c>
      <c r="AY22" s="101">
        <v>3</v>
      </c>
      <c r="AZ22" s="102">
        <v>4</v>
      </c>
      <c r="BA22" s="98">
        <v>40.3</v>
      </c>
      <c r="BB22" s="102">
        <v>32</v>
      </c>
      <c r="BC22" s="98">
        <v>24</v>
      </c>
      <c r="BD22" s="98">
        <v>2160</v>
      </c>
      <c r="BE22" s="103">
        <v>12.25</v>
      </c>
      <c r="BG22" s="100">
        <v>24</v>
      </c>
      <c r="BH22" s="84" t="s">
        <v>224</v>
      </c>
      <c r="BI22" s="104" t="s">
        <v>225</v>
      </c>
      <c r="BK22" s="17"/>
      <c r="BL22" s="19"/>
      <c r="BM22" s="56" t="s">
        <v>21</v>
      </c>
      <c r="BN22" s="20"/>
      <c r="BO22" s="57" t="s">
        <v>130</v>
      </c>
      <c r="BP22" s="26"/>
      <c r="BQ22" s="186">
        <f>(IF(((SUM(AV12:AV42))=0)," ",(AVERAGE(AV12:AV42))))</f>
        <v>349.53287500000005</v>
      </c>
      <c r="BR22" s="186">
        <f>MAX(AV12:AV42)</f>
        <v>492.0183</v>
      </c>
      <c r="BS22" s="26" t="s">
        <v>126</v>
      </c>
      <c r="BT22" s="26"/>
      <c r="BU22" s="186">
        <f>(IF(((SUM(AU12:AU42))=0)," ",(AVERAGE(AU12:AU42))))</f>
        <v>20.333333333333332</v>
      </c>
      <c r="BV22" s="58">
        <f>(CJ23)</f>
        <v>26</v>
      </c>
      <c r="BW22" s="186">
        <f>MAX(AU12:AU42)</f>
        <v>28</v>
      </c>
      <c r="BX22" s="26" t="s">
        <v>128</v>
      </c>
      <c r="BY22" s="26"/>
      <c r="BZ22" s="26">
        <v>0</v>
      </c>
      <c r="CA22" s="267" t="s">
        <v>47</v>
      </c>
      <c r="CB22" s="26">
        <v>24</v>
      </c>
      <c r="CC22" s="137"/>
      <c r="CE22" s="69"/>
      <c r="CF22" s="26"/>
      <c r="CG22" s="186"/>
      <c r="CH22" s="186"/>
      <c r="CI22" s="186"/>
      <c r="CJ22" s="186"/>
      <c r="CK22" s="186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5">
        <v>2117777</v>
      </c>
      <c r="D23" s="138">
        <f t="shared" si="0"/>
        <v>1.831</v>
      </c>
      <c r="E23" s="140">
        <v>3.5</v>
      </c>
      <c r="F23" s="141">
        <v>0.4</v>
      </c>
      <c r="G23" s="81" t="str">
        <f t="shared" si="1"/>
        <v>0.00</v>
      </c>
      <c r="H23" s="85">
        <v>5200</v>
      </c>
      <c r="I23" s="86">
        <v>8750</v>
      </c>
      <c r="K23" s="87" t="s">
        <v>210</v>
      </c>
      <c r="L23" s="85">
        <v>61</v>
      </c>
      <c r="M23" s="88">
        <v>0</v>
      </c>
      <c r="O23" s="107"/>
      <c r="Q23" s="108">
        <v>23</v>
      </c>
      <c r="R23" s="153">
        <v>0.24</v>
      </c>
      <c r="S23" s="109"/>
      <c r="U23" s="93">
        <v>7.5</v>
      </c>
      <c r="V23" s="94">
        <v>7.1</v>
      </c>
      <c r="W23" s="95">
        <v>6.8</v>
      </c>
      <c r="Y23" s="90">
        <v>19</v>
      </c>
      <c r="Z23" s="96">
        <v>19</v>
      </c>
      <c r="AA23" s="92">
        <v>20</v>
      </c>
      <c r="AC23" s="93">
        <v>7</v>
      </c>
      <c r="AD23" s="91">
        <v>0.01</v>
      </c>
      <c r="AE23" s="97">
        <v>0</v>
      </c>
      <c r="AG23" s="45">
        <f t="shared" si="2"/>
        <v>12</v>
      </c>
      <c r="AI23" s="98">
        <v>420</v>
      </c>
      <c r="AJ23" s="55">
        <f t="shared" si="3"/>
        <v>6413.6268</v>
      </c>
      <c r="AK23" s="98">
        <v>211</v>
      </c>
      <c r="AL23" s="55">
        <f t="shared" si="4"/>
        <v>3222.08394</v>
      </c>
      <c r="AM23" s="98">
        <v>10</v>
      </c>
      <c r="AN23" s="55">
        <f t="shared" si="5"/>
        <v>152.7054</v>
      </c>
      <c r="AO23" s="110">
        <v>6</v>
      </c>
      <c r="AQ23" s="100">
        <v>414</v>
      </c>
      <c r="AR23" s="55">
        <f t="shared" si="6"/>
        <v>6322.00356</v>
      </c>
      <c r="AS23" s="98">
        <v>98</v>
      </c>
      <c r="AT23" s="55">
        <f t="shared" si="7"/>
        <v>1496.51292</v>
      </c>
      <c r="AU23" s="98">
        <v>17</v>
      </c>
      <c r="AV23" s="55">
        <f t="shared" si="8"/>
        <v>259.59918</v>
      </c>
      <c r="AX23" s="100"/>
      <c r="AY23" s="101"/>
      <c r="AZ23" s="102"/>
      <c r="BA23" s="98"/>
      <c r="BB23" s="102"/>
      <c r="BC23" s="98"/>
      <c r="BD23" s="98"/>
      <c r="BE23" s="103"/>
      <c r="BG23" s="100"/>
      <c r="BH23" s="84"/>
      <c r="BI23" s="104"/>
      <c r="BK23" s="17"/>
      <c r="BL23" s="19"/>
      <c r="BM23" s="26" t="s">
        <v>86</v>
      </c>
      <c r="BN23" s="20"/>
      <c r="BO23" s="154" t="s">
        <v>131</v>
      </c>
      <c r="BP23" s="26"/>
      <c r="BQ23" s="268">
        <v>963</v>
      </c>
      <c r="BR23" s="268">
        <v>1605</v>
      </c>
      <c r="BS23" s="155" t="s">
        <v>126</v>
      </c>
      <c r="BT23" s="26"/>
      <c r="BU23" s="268">
        <v>30</v>
      </c>
      <c r="BV23" s="269">
        <v>45</v>
      </c>
      <c r="BW23" s="268">
        <v>50</v>
      </c>
      <c r="BX23" s="155" t="s">
        <v>128</v>
      </c>
      <c r="BY23" s="26"/>
      <c r="BZ23" s="270" t="s">
        <v>150</v>
      </c>
      <c r="CA23" s="271" t="s">
        <v>47</v>
      </c>
      <c r="CB23" s="155">
        <v>24</v>
      </c>
      <c r="CC23" s="137"/>
      <c r="CE23" s="69"/>
      <c r="CF23" s="72" t="s">
        <v>53</v>
      </c>
      <c r="CG23" s="186">
        <f>(IF(((SUM(CG12:CG20))=0)," ",(MAX(CG12:CG20))))</f>
        <v>14.333333333333334</v>
      </c>
      <c r="CH23" s="186">
        <f>(IF(((SUM(CH12:CH20))=0)," ",(MAX(CH12:CH20))))</f>
        <v>252.23496</v>
      </c>
      <c r="CI23" s="186"/>
      <c r="CJ23" s="186">
        <f>(IF(((SUM(CJ12:CJ20))=0)," ",(MAX(CJ12:CJ20))))</f>
        <v>26</v>
      </c>
      <c r="CK23" s="186">
        <f>(IF(((SUM(CK12:CK20))=0)," ",(MAX(CK12:CK20))))</f>
        <v>450.1793</v>
      </c>
      <c r="CL23" s="71"/>
      <c r="CM23" s="60">
        <f>(MAX(CM12:CM20))</f>
        <v>0.004285714285714286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5">
        <v>2119595</v>
      </c>
      <c r="D24" s="138">
        <f t="shared" si="0"/>
        <v>1.818</v>
      </c>
      <c r="E24" s="140">
        <v>3.6</v>
      </c>
      <c r="F24" s="141">
        <v>0.4</v>
      </c>
      <c r="G24" s="81" t="str">
        <f t="shared" si="1"/>
        <v>0.00</v>
      </c>
      <c r="H24" s="85">
        <v>1700</v>
      </c>
      <c r="I24" s="86">
        <v>4000</v>
      </c>
      <c r="K24" s="87" t="s">
        <v>208</v>
      </c>
      <c r="L24" s="85">
        <v>59</v>
      </c>
      <c r="M24" s="88">
        <v>0.01</v>
      </c>
      <c r="O24" s="107"/>
      <c r="Q24" s="108">
        <v>24</v>
      </c>
      <c r="R24" s="153">
        <v>0.13</v>
      </c>
      <c r="S24" s="109"/>
      <c r="U24" s="93">
        <v>7.4</v>
      </c>
      <c r="V24" s="94">
        <v>7.1</v>
      </c>
      <c r="W24" s="95">
        <v>6.7</v>
      </c>
      <c r="Y24" s="90">
        <v>18</v>
      </c>
      <c r="Z24" s="96">
        <v>19</v>
      </c>
      <c r="AA24" s="92">
        <v>18</v>
      </c>
      <c r="AC24" s="93">
        <v>8</v>
      </c>
      <c r="AD24" s="91">
        <v>0.01</v>
      </c>
      <c r="AE24" s="97">
        <v>0</v>
      </c>
      <c r="AG24" s="45">
        <f t="shared" si="2"/>
        <v>13</v>
      </c>
      <c r="AI24" s="98"/>
      <c r="AJ24" s="55">
        <f t="shared" si="3"/>
      </c>
      <c r="AK24" s="98"/>
      <c r="AL24" s="55">
        <f t="shared" si="4"/>
      </c>
      <c r="AM24" s="98"/>
      <c r="AN24" s="55">
        <f t="shared" si="5"/>
      </c>
      <c r="AO24" s="110"/>
      <c r="AQ24" s="100"/>
      <c r="AR24" s="55">
        <f t="shared" si="6"/>
      </c>
      <c r="AS24" s="98"/>
      <c r="AT24" s="55">
        <f t="shared" si="7"/>
      </c>
      <c r="AU24" s="98"/>
      <c r="AV24" s="55">
        <f t="shared" si="8"/>
      </c>
      <c r="AX24" s="100"/>
      <c r="AY24" s="101"/>
      <c r="AZ24" s="102"/>
      <c r="BA24" s="98"/>
      <c r="BB24" s="102"/>
      <c r="BC24" s="98"/>
      <c r="BD24" s="98"/>
      <c r="BE24" s="103"/>
      <c r="BG24" s="100"/>
      <c r="BH24" s="84"/>
      <c r="BI24" s="10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5">
        <v>2121360</v>
      </c>
      <c r="D25" s="138">
        <f t="shared" si="0"/>
        <v>1.765</v>
      </c>
      <c r="E25" s="140">
        <v>3.4</v>
      </c>
      <c r="F25" s="141">
        <v>0.4</v>
      </c>
      <c r="G25" s="81" t="str">
        <f t="shared" si="1"/>
        <v>0.00</v>
      </c>
      <c r="H25" s="85">
        <v>0</v>
      </c>
      <c r="I25" s="86">
        <v>1000</v>
      </c>
      <c r="K25" s="87" t="s">
        <v>210</v>
      </c>
      <c r="L25" s="85">
        <v>66</v>
      </c>
      <c r="M25" s="88">
        <v>0</v>
      </c>
      <c r="O25" s="107"/>
      <c r="Q25" s="108">
        <v>23</v>
      </c>
      <c r="R25" s="153">
        <v>0.15</v>
      </c>
      <c r="S25" s="109"/>
      <c r="U25" s="93">
        <v>7.3</v>
      </c>
      <c r="V25" s="94">
        <v>7.1</v>
      </c>
      <c r="W25" s="95">
        <v>6.9</v>
      </c>
      <c r="Y25" s="90">
        <v>19</v>
      </c>
      <c r="Z25" s="96">
        <v>18</v>
      </c>
      <c r="AA25" s="92">
        <v>20</v>
      </c>
      <c r="AC25" s="93">
        <v>9.5</v>
      </c>
      <c r="AD25" s="91">
        <v>0</v>
      </c>
      <c r="AE25" s="97">
        <v>0</v>
      </c>
      <c r="AG25" s="45">
        <f t="shared" si="2"/>
        <v>14</v>
      </c>
      <c r="AI25" s="98"/>
      <c r="AJ25" s="55">
        <f t="shared" si="3"/>
      </c>
      <c r="AK25" s="98"/>
      <c r="AL25" s="55">
        <f t="shared" si="4"/>
      </c>
      <c r="AM25" s="98"/>
      <c r="AN25" s="55">
        <f t="shared" si="5"/>
      </c>
      <c r="AO25" s="110"/>
      <c r="AQ25" s="100"/>
      <c r="AR25" s="55">
        <f t="shared" si="6"/>
      </c>
      <c r="AS25" s="98"/>
      <c r="AT25" s="55">
        <f t="shared" si="7"/>
      </c>
      <c r="AU25" s="98"/>
      <c r="AV25" s="55">
        <f t="shared" si="8"/>
      </c>
      <c r="AX25" s="100"/>
      <c r="AY25" s="101"/>
      <c r="AZ25" s="102"/>
      <c r="BA25" s="98"/>
      <c r="BB25" s="102"/>
      <c r="BC25" s="98"/>
      <c r="BD25" s="98"/>
      <c r="BE25" s="103"/>
      <c r="BG25" s="100"/>
      <c r="BH25" s="84"/>
      <c r="BI25" s="104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3">
        <v>2123165</v>
      </c>
      <c r="D26" s="139">
        <f t="shared" si="0"/>
        <v>1.805</v>
      </c>
      <c r="E26" s="142">
        <v>3.4</v>
      </c>
      <c r="F26" s="143">
        <v>0.4</v>
      </c>
      <c r="G26" s="184" t="str">
        <f t="shared" si="1"/>
        <v>0.00</v>
      </c>
      <c r="H26" s="113">
        <v>1000</v>
      </c>
      <c r="I26" s="114">
        <v>10000</v>
      </c>
      <c r="K26" s="115" t="s">
        <v>208</v>
      </c>
      <c r="L26" s="113">
        <v>68</v>
      </c>
      <c r="M26" s="116">
        <v>0</v>
      </c>
      <c r="O26" s="117"/>
      <c r="Q26" s="257">
        <v>24</v>
      </c>
      <c r="R26" s="258">
        <v>0.31</v>
      </c>
      <c r="S26" s="263">
        <v>74</v>
      </c>
      <c r="U26" s="118">
        <v>7.3</v>
      </c>
      <c r="V26" s="119">
        <v>7</v>
      </c>
      <c r="W26" s="120">
        <v>6.8</v>
      </c>
      <c r="Y26" s="121">
        <v>19</v>
      </c>
      <c r="Z26" s="122">
        <v>19</v>
      </c>
      <c r="AA26" s="123">
        <v>20</v>
      </c>
      <c r="AC26" s="118">
        <v>8</v>
      </c>
      <c r="AD26" s="124">
        <v>0.01</v>
      </c>
      <c r="AE26" s="125">
        <v>0</v>
      </c>
      <c r="AG26" s="45">
        <f t="shared" si="2"/>
        <v>15</v>
      </c>
      <c r="AI26" s="126"/>
      <c r="AJ26" s="65">
        <f t="shared" si="3"/>
      </c>
      <c r="AK26" s="126"/>
      <c r="AL26" s="65">
        <f t="shared" si="4"/>
      </c>
      <c r="AM26" s="126"/>
      <c r="AN26" s="65">
        <f t="shared" si="5"/>
      </c>
      <c r="AO26" s="127"/>
      <c r="AQ26" s="128"/>
      <c r="AR26" s="65">
        <f t="shared" si="6"/>
      </c>
      <c r="AS26" s="126"/>
      <c r="AT26" s="65">
        <f t="shared" si="7"/>
      </c>
      <c r="AU26" s="126"/>
      <c r="AV26" s="65">
        <f t="shared" si="8"/>
      </c>
      <c r="AX26" s="128">
        <v>67750</v>
      </c>
      <c r="AY26" s="129">
        <v>3</v>
      </c>
      <c r="AZ26" s="130">
        <v>4</v>
      </c>
      <c r="BA26" s="126">
        <v>46.5</v>
      </c>
      <c r="BB26" s="130">
        <v>36</v>
      </c>
      <c r="BC26" s="126">
        <v>24</v>
      </c>
      <c r="BD26" s="126">
        <v>2280</v>
      </c>
      <c r="BE26" s="131">
        <v>12.21</v>
      </c>
      <c r="BG26" s="128">
        <v>24</v>
      </c>
      <c r="BH26" s="111" t="s">
        <v>224</v>
      </c>
      <c r="BI26" s="132" t="s">
        <v>225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5">
        <v>2125048</v>
      </c>
      <c r="D27" s="138">
        <f t="shared" si="0"/>
        <v>1.883</v>
      </c>
      <c r="E27" s="140">
        <v>6.2</v>
      </c>
      <c r="F27" s="141">
        <v>0.4</v>
      </c>
      <c r="G27" s="81" t="str">
        <f t="shared" si="1"/>
        <v>0.00</v>
      </c>
      <c r="H27" s="85">
        <v>3800</v>
      </c>
      <c r="I27" s="86">
        <v>9500</v>
      </c>
      <c r="K27" s="87" t="s">
        <v>208</v>
      </c>
      <c r="L27" s="85">
        <v>64</v>
      </c>
      <c r="M27" s="88">
        <v>1.23</v>
      </c>
      <c r="O27" s="107"/>
      <c r="Q27" s="108">
        <v>28</v>
      </c>
      <c r="R27" s="153">
        <v>0.31</v>
      </c>
      <c r="S27" s="109">
        <v>13</v>
      </c>
      <c r="U27" s="93">
        <v>7.3</v>
      </c>
      <c r="V27" s="94">
        <v>7.1</v>
      </c>
      <c r="W27" s="95">
        <v>6.9</v>
      </c>
      <c r="Y27" s="90">
        <v>19</v>
      </c>
      <c r="Z27" s="96">
        <v>19</v>
      </c>
      <c r="AA27" s="92">
        <v>20</v>
      </c>
      <c r="AC27" s="93">
        <v>13</v>
      </c>
      <c r="AD27" s="91">
        <v>0.01</v>
      </c>
      <c r="AE27" s="97">
        <v>0.01</v>
      </c>
      <c r="AG27" s="45">
        <f t="shared" si="2"/>
        <v>16</v>
      </c>
      <c r="AI27" s="98"/>
      <c r="AJ27" s="55">
        <f t="shared" si="3"/>
      </c>
      <c r="AK27" s="98"/>
      <c r="AL27" s="55">
        <f t="shared" si="4"/>
      </c>
      <c r="AM27" s="98"/>
      <c r="AN27" s="55">
        <f t="shared" si="5"/>
      </c>
      <c r="AO27" s="110"/>
      <c r="AQ27" s="100"/>
      <c r="AR27" s="55">
        <f t="shared" si="6"/>
      </c>
      <c r="AS27" s="98"/>
      <c r="AT27" s="55">
        <f t="shared" si="7"/>
      </c>
      <c r="AU27" s="98"/>
      <c r="AV27" s="55">
        <f t="shared" si="8"/>
      </c>
      <c r="AX27" s="100"/>
      <c r="AY27" s="101"/>
      <c r="AZ27" s="102"/>
      <c r="BA27" s="98"/>
      <c r="BB27" s="102"/>
      <c r="BC27" s="98"/>
      <c r="BD27" s="98"/>
      <c r="BE27" s="103"/>
      <c r="BG27" s="100"/>
      <c r="BH27" s="84"/>
      <c r="BI27" s="104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5">
        <v>2127360</v>
      </c>
      <c r="D28" s="138">
        <f t="shared" si="0"/>
        <v>2.312</v>
      </c>
      <c r="E28" s="140">
        <v>3.6</v>
      </c>
      <c r="F28" s="141">
        <v>0.4</v>
      </c>
      <c r="G28" s="81" t="str">
        <f t="shared" si="1"/>
        <v>0.00</v>
      </c>
      <c r="H28" s="85">
        <v>3000</v>
      </c>
      <c r="I28" s="86">
        <v>9750</v>
      </c>
      <c r="K28" s="87" t="s">
        <v>210</v>
      </c>
      <c r="L28" s="85">
        <v>62</v>
      </c>
      <c r="M28" s="88">
        <v>0.01</v>
      </c>
      <c r="O28" s="107"/>
      <c r="Q28" s="108">
        <v>30</v>
      </c>
      <c r="R28" s="153">
        <v>0.19</v>
      </c>
      <c r="S28" s="109"/>
      <c r="U28" s="93">
        <v>7.4</v>
      </c>
      <c r="V28" s="94">
        <v>7</v>
      </c>
      <c r="W28" s="95">
        <v>6.7</v>
      </c>
      <c r="Y28" s="90">
        <v>19</v>
      </c>
      <c r="Z28" s="96">
        <v>19</v>
      </c>
      <c r="AA28" s="92">
        <v>19</v>
      </c>
      <c r="AC28" s="93">
        <v>11</v>
      </c>
      <c r="AD28" s="91">
        <v>0.01</v>
      </c>
      <c r="AE28" s="97">
        <v>0.01</v>
      </c>
      <c r="AG28" s="45">
        <f t="shared" si="2"/>
        <v>17</v>
      </c>
      <c r="AI28" s="98">
        <v>353</v>
      </c>
      <c r="AJ28" s="55">
        <f t="shared" si="3"/>
        <v>6806.57424</v>
      </c>
      <c r="AK28" s="98"/>
      <c r="AL28" s="55">
        <f t="shared" si="4"/>
      </c>
      <c r="AM28" s="98">
        <v>17</v>
      </c>
      <c r="AN28" s="55">
        <f t="shared" si="5"/>
        <v>327.79535999999996</v>
      </c>
      <c r="AO28" s="110">
        <v>14</v>
      </c>
      <c r="AQ28" s="100">
        <v>456</v>
      </c>
      <c r="AR28" s="55">
        <f t="shared" si="6"/>
        <v>8792.62848</v>
      </c>
      <c r="AS28" s="98"/>
      <c r="AT28" s="55">
        <f t="shared" si="7"/>
      </c>
      <c r="AU28" s="98">
        <v>24</v>
      </c>
      <c r="AV28" s="55">
        <f t="shared" si="8"/>
        <v>462.76992</v>
      </c>
      <c r="AX28" s="100"/>
      <c r="AY28" s="101"/>
      <c r="AZ28" s="102"/>
      <c r="BA28" s="98"/>
      <c r="BB28" s="102"/>
      <c r="BC28" s="98"/>
      <c r="BD28" s="98"/>
      <c r="BE28" s="103"/>
      <c r="BG28" s="100"/>
      <c r="BH28" s="84"/>
      <c r="BI28" s="104"/>
      <c r="BK28" s="17"/>
      <c r="BL28" s="19"/>
      <c r="BM28" s="56" t="s">
        <v>9</v>
      </c>
      <c r="BN28" s="20"/>
      <c r="BO28" s="57" t="s">
        <v>130</v>
      </c>
      <c r="BP28" s="26"/>
      <c r="BQ28" s="272" t="s">
        <v>150</v>
      </c>
      <c r="BR28" s="272" t="s">
        <v>150</v>
      </c>
      <c r="BS28" s="272" t="s">
        <v>150</v>
      </c>
      <c r="BT28" s="272"/>
      <c r="BU28" s="272" t="s">
        <v>150</v>
      </c>
      <c r="BV28" s="71">
        <f>(CM23)</f>
        <v>0.004285714285714286</v>
      </c>
      <c r="BW28" s="71">
        <f>MAX(AE12:AE42)</f>
        <v>0.01</v>
      </c>
      <c r="BX28" s="26" t="s">
        <v>128</v>
      </c>
      <c r="BY28" s="26"/>
      <c r="BZ28" s="26">
        <v>0</v>
      </c>
      <c r="CA28" s="267" t="s">
        <v>48</v>
      </c>
      <c r="CB28" s="26" t="s">
        <v>23</v>
      </c>
      <c r="CC28" s="137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5">
        <v>2129311</v>
      </c>
      <c r="D29" s="138">
        <f t="shared" si="0"/>
        <v>1.951</v>
      </c>
      <c r="E29" s="140">
        <v>3.6</v>
      </c>
      <c r="F29" s="141">
        <v>0.4</v>
      </c>
      <c r="G29" s="81" t="str">
        <f t="shared" si="1"/>
        <v>0.00</v>
      </c>
      <c r="H29" s="85">
        <v>1100</v>
      </c>
      <c r="I29" s="86">
        <v>9250</v>
      </c>
      <c r="K29" s="87" t="s">
        <v>210</v>
      </c>
      <c r="L29" s="85">
        <v>60</v>
      </c>
      <c r="M29" s="88">
        <v>0.01</v>
      </c>
      <c r="O29" s="107"/>
      <c r="Q29" s="108">
        <v>29</v>
      </c>
      <c r="R29" s="153">
        <v>0.17</v>
      </c>
      <c r="S29" s="109">
        <v>725</v>
      </c>
      <c r="U29" s="93">
        <v>7.8</v>
      </c>
      <c r="V29" s="94">
        <v>7.1</v>
      </c>
      <c r="W29" s="95">
        <v>6.5</v>
      </c>
      <c r="Y29" s="90">
        <v>19</v>
      </c>
      <c r="Z29" s="96">
        <v>19</v>
      </c>
      <c r="AA29" s="92">
        <v>19</v>
      </c>
      <c r="AC29" s="93">
        <v>7.5</v>
      </c>
      <c r="AD29" s="91">
        <v>0.1</v>
      </c>
      <c r="AE29" s="97">
        <v>0.01</v>
      </c>
      <c r="AG29" s="45">
        <f t="shared" si="2"/>
        <v>18</v>
      </c>
      <c r="AI29" s="98">
        <v>335</v>
      </c>
      <c r="AJ29" s="55">
        <f t="shared" si="3"/>
        <v>5450.8989</v>
      </c>
      <c r="AK29" s="98"/>
      <c r="AL29" s="55">
        <f t="shared" si="4"/>
      </c>
      <c r="AM29" s="98">
        <v>13</v>
      </c>
      <c r="AN29" s="55">
        <f t="shared" si="5"/>
        <v>211.52742</v>
      </c>
      <c r="AO29" s="110">
        <v>9</v>
      </c>
      <c r="AQ29" s="100">
        <v>448</v>
      </c>
      <c r="AR29" s="55">
        <f t="shared" si="6"/>
        <v>7289.56032</v>
      </c>
      <c r="AS29" s="98"/>
      <c r="AT29" s="55">
        <f t="shared" si="7"/>
      </c>
      <c r="AU29" s="98">
        <v>21</v>
      </c>
      <c r="AV29" s="55">
        <f t="shared" si="8"/>
        <v>341.69814</v>
      </c>
      <c r="AX29" s="100">
        <v>62033</v>
      </c>
      <c r="AY29" s="101">
        <v>3</v>
      </c>
      <c r="AZ29" s="102">
        <v>4</v>
      </c>
      <c r="BA29" s="98">
        <v>40.3</v>
      </c>
      <c r="BB29" s="102">
        <v>35</v>
      </c>
      <c r="BC29" s="98">
        <v>24</v>
      </c>
      <c r="BD29" s="98">
        <v>2280</v>
      </c>
      <c r="BE29" s="103">
        <v>12.2</v>
      </c>
      <c r="BG29" s="100">
        <v>24</v>
      </c>
      <c r="BH29" s="84" t="s">
        <v>224</v>
      </c>
      <c r="BI29" s="104" t="s">
        <v>225</v>
      </c>
      <c r="BK29" s="17"/>
      <c r="BL29" s="19"/>
      <c r="BM29" s="26" t="s">
        <v>86</v>
      </c>
      <c r="BN29" s="20"/>
      <c r="BO29" s="154" t="s">
        <v>131</v>
      </c>
      <c r="BP29" s="26"/>
      <c r="BQ29" s="270" t="s">
        <v>150</v>
      </c>
      <c r="BR29" s="270" t="s">
        <v>150</v>
      </c>
      <c r="BS29" s="270" t="s">
        <v>150</v>
      </c>
      <c r="BT29" s="272"/>
      <c r="BU29" s="270" t="s">
        <v>150</v>
      </c>
      <c r="BV29" s="155" t="s">
        <v>146</v>
      </c>
      <c r="BW29" s="155">
        <v>0.3</v>
      </c>
      <c r="BX29" s="155" t="s">
        <v>128</v>
      </c>
      <c r="BY29" s="26"/>
      <c r="BZ29" s="270" t="s">
        <v>150</v>
      </c>
      <c r="CA29" s="271" t="s">
        <v>48</v>
      </c>
      <c r="CB29" s="155" t="s">
        <v>23</v>
      </c>
      <c r="CC29" s="137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5">
        <v>2131316</v>
      </c>
      <c r="D30" s="138">
        <f t="shared" si="0"/>
        <v>2.005</v>
      </c>
      <c r="E30" s="140">
        <v>4.6</v>
      </c>
      <c r="F30" s="141">
        <v>0.4</v>
      </c>
      <c r="G30" s="81" t="str">
        <f t="shared" si="1"/>
        <v>0.00</v>
      </c>
      <c r="H30" s="85">
        <v>1900</v>
      </c>
      <c r="I30" s="86">
        <v>9500</v>
      </c>
      <c r="K30" s="87" t="s">
        <v>210</v>
      </c>
      <c r="L30" s="85">
        <v>61</v>
      </c>
      <c r="M30" s="88">
        <v>0.75</v>
      </c>
      <c r="O30" s="107"/>
      <c r="Q30" s="108">
        <v>29</v>
      </c>
      <c r="R30" s="153">
        <v>0.19</v>
      </c>
      <c r="S30" s="109"/>
      <c r="U30" s="93">
        <v>7.3</v>
      </c>
      <c r="V30" s="94">
        <v>7.1</v>
      </c>
      <c r="W30" s="95">
        <v>6.7</v>
      </c>
      <c r="Y30" s="90">
        <v>18</v>
      </c>
      <c r="Z30" s="96">
        <v>19</v>
      </c>
      <c r="AA30" s="92">
        <v>19</v>
      </c>
      <c r="AC30" s="93">
        <v>9</v>
      </c>
      <c r="AD30" s="91">
        <v>0.01</v>
      </c>
      <c r="AE30" s="97">
        <v>0</v>
      </c>
      <c r="AG30" s="45">
        <f t="shared" si="2"/>
        <v>19</v>
      </c>
      <c r="AI30" s="98">
        <v>313</v>
      </c>
      <c r="AJ30" s="55">
        <f t="shared" si="3"/>
        <v>5233.892099999999</v>
      </c>
      <c r="AK30" s="98">
        <v>211</v>
      </c>
      <c r="AL30" s="55">
        <f t="shared" si="4"/>
        <v>3528.2786999999994</v>
      </c>
      <c r="AM30" s="98">
        <v>13</v>
      </c>
      <c r="AN30" s="55">
        <f t="shared" si="5"/>
        <v>217.38209999999998</v>
      </c>
      <c r="AO30" s="110">
        <v>9</v>
      </c>
      <c r="AQ30" s="100">
        <v>328</v>
      </c>
      <c r="AR30" s="55">
        <f t="shared" si="6"/>
        <v>5484.7176</v>
      </c>
      <c r="AS30" s="98">
        <v>96</v>
      </c>
      <c r="AT30" s="55">
        <f t="shared" si="7"/>
        <v>1605.2831999999999</v>
      </c>
      <c r="AU30" s="98">
        <v>24</v>
      </c>
      <c r="AV30" s="55">
        <f t="shared" si="8"/>
        <v>401.32079999999996</v>
      </c>
      <c r="AX30" s="100"/>
      <c r="AY30" s="101"/>
      <c r="AZ30" s="102"/>
      <c r="BA30" s="98"/>
      <c r="BB30" s="102"/>
      <c r="BC30" s="98"/>
      <c r="BD30" s="98"/>
      <c r="BE30" s="103"/>
      <c r="BG30" s="100"/>
      <c r="BH30" s="84"/>
      <c r="BI30" s="104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3">
        <v>2133457</v>
      </c>
      <c r="D31" s="139">
        <f t="shared" si="0"/>
        <v>2.141</v>
      </c>
      <c r="E31" s="142">
        <v>3.5</v>
      </c>
      <c r="F31" s="143">
        <v>0.4</v>
      </c>
      <c r="G31" s="184" t="str">
        <f t="shared" si="1"/>
        <v>0.00</v>
      </c>
      <c r="H31" s="113">
        <v>3000</v>
      </c>
      <c r="I31" s="114">
        <v>6500</v>
      </c>
      <c r="K31" s="115" t="s">
        <v>208</v>
      </c>
      <c r="L31" s="113">
        <v>67</v>
      </c>
      <c r="M31" s="116">
        <v>0.03</v>
      </c>
      <c r="O31" s="117"/>
      <c r="Q31" s="257">
        <v>30</v>
      </c>
      <c r="R31" s="258">
        <v>0.23</v>
      </c>
      <c r="S31" s="263"/>
      <c r="U31" s="118">
        <v>7.2</v>
      </c>
      <c r="V31" s="119">
        <v>7.1</v>
      </c>
      <c r="W31" s="120">
        <v>6.6</v>
      </c>
      <c r="Y31" s="121">
        <v>18</v>
      </c>
      <c r="Z31" s="122">
        <v>19</v>
      </c>
      <c r="AA31" s="123">
        <v>20</v>
      </c>
      <c r="AC31" s="118">
        <v>10</v>
      </c>
      <c r="AD31" s="124">
        <v>0.01</v>
      </c>
      <c r="AE31" s="125">
        <v>0</v>
      </c>
      <c r="AG31" s="45">
        <f t="shared" si="2"/>
        <v>20</v>
      </c>
      <c r="AI31" s="126"/>
      <c r="AJ31" s="65">
        <f t="shared" si="3"/>
      </c>
      <c r="AK31" s="126"/>
      <c r="AL31" s="65">
        <f t="shared" si="4"/>
      </c>
      <c r="AM31" s="126"/>
      <c r="AN31" s="65">
        <f t="shared" si="5"/>
      </c>
      <c r="AO31" s="127"/>
      <c r="AQ31" s="128"/>
      <c r="AR31" s="65">
        <f t="shared" si="6"/>
      </c>
      <c r="AS31" s="126"/>
      <c r="AT31" s="65">
        <f t="shared" si="7"/>
      </c>
      <c r="AU31" s="126"/>
      <c r="AV31" s="65">
        <f t="shared" si="8"/>
      </c>
      <c r="AX31" s="128"/>
      <c r="AY31" s="129"/>
      <c r="AZ31" s="130"/>
      <c r="BA31" s="126"/>
      <c r="BB31" s="130"/>
      <c r="BC31" s="126"/>
      <c r="BD31" s="126"/>
      <c r="BE31" s="131"/>
      <c r="BG31" s="128"/>
      <c r="BH31" s="111"/>
      <c r="BI31" s="132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5">
        <v>2135407</v>
      </c>
      <c r="D32" s="138">
        <f t="shared" si="0"/>
        <v>1.95</v>
      </c>
      <c r="E32" s="140">
        <v>3.6</v>
      </c>
      <c r="F32" s="141">
        <v>0.4</v>
      </c>
      <c r="G32" s="81" t="str">
        <f t="shared" si="1"/>
        <v>0.00</v>
      </c>
      <c r="H32" s="85">
        <v>0</v>
      </c>
      <c r="I32" s="86">
        <v>0</v>
      </c>
      <c r="K32" s="87" t="s">
        <v>210</v>
      </c>
      <c r="L32" s="85">
        <v>64</v>
      </c>
      <c r="M32" s="88">
        <v>0.01</v>
      </c>
      <c r="O32" s="107"/>
      <c r="Q32" s="108">
        <v>28</v>
      </c>
      <c r="R32" s="153">
        <v>0.21</v>
      </c>
      <c r="S32" s="109"/>
      <c r="U32" s="93">
        <v>7.3</v>
      </c>
      <c r="V32" s="94">
        <v>7.1</v>
      </c>
      <c r="W32" s="95">
        <v>6.5</v>
      </c>
      <c r="Y32" s="90">
        <v>18</v>
      </c>
      <c r="Z32" s="96">
        <v>19</v>
      </c>
      <c r="AA32" s="92">
        <v>19</v>
      </c>
      <c r="AC32" s="93">
        <v>9</v>
      </c>
      <c r="AD32" s="91">
        <v>0.01</v>
      </c>
      <c r="AE32" s="97">
        <v>0</v>
      </c>
      <c r="AG32" s="45">
        <f t="shared" si="2"/>
        <v>21</v>
      </c>
      <c r="AI32" s="98"/>
      <c r="AJ32" s="55">
        <f t="shared" si="3"/>
      </c>
      <c r="AK32" s="98"/>
      <c r="AL32" s="55">
        <f t="shared" si="4"/>
      </c>
      <c r="AM32" s="98"/>
      <c r="AN32" s="55">
        <f t="shared" si="5"/>
      </c>
      <c r="AO32" s="110"/>
      <c r="AQ32" s="100"/>
      <c r="AR32" s="55">
        <f t="shared" si="6"/>
      </c>
      <c r="AS32" s="98"/>
      <c r="AT32" s="55">
        <f t="shared" si="7"/>
      </c>
      <c r="AU32" s="98"/>
      <c r="AV32" s="55">
        <f t="shared" si="8"/>
      </c>
      <c r="AX32" s="100"/>
      <c r="AY32" s="101"/>
      <c r="AZ32" s="102"/>
      <c r="BA32" s="98"/>
      <c r="BB32" s="102"/>
      <c r="BC32" s="98"/>
      <c r="BD32" s="98"/>
      <c r="BE32" s="103"/>
      <c r="BG32" s="100"/>
      <c r="BH32" s="84"/>
      <c r="BI32" s="104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5">
        <v>2137352</v>
      </c>
      <c r="D33" s="138">
        <f t="shared" si="0"/>
        <v>1.945</v>
      </c>
      <c r="E33" s="140">
        <v>4.4</v>
      </c>
      <c r="F33" s="141">
        <v>0.4</v>
      </c>
      <c r="G33" s="81" t="str">
        <f t="shared" si="1"/>
        <v>0.00</v>
      </c>
      <c r="H33" s="85">
        <v>6650</v>
      </c>
      <c r="I33" s="86">
        <v>9500</v>
      </c>
      <c r="K33" s="87" t="s">
        <v>208</v>
      </c>
      <c r="L33" s="85">
        <v>63</v>
      </c>
      <c r="M33" s="88">
        <v>0</v>
      </c>
      <c r="O33" s="107"/>
      <c r="Q33" s="108">
        <v>29</v>
      </c>
      <c r="R33" s="153">
        <v>0.18</v>
      </c>
      <c r="S33" s="109">
        <v>135</v>
      </c>
      <c r="U33" s="93">
        <v>7.3</v>
      </c>
      <c r="V33" s="94">
        <v>7</v>
      </c>
      <c r="W33" s="95">
        <v>6.8</v>
      </c>
      <c r="Y33" s="90">
        <v>19</v>
      </c>
      <c r="Z33" s="96">
        <v>19</v>
      </c>
      <c r="AA33" s="92">
        <v>20</v>
      </c>
      <c r="AC33" s="93">
        <v>10</v>
      </c>
      <c r="AD33" s="91">
        <v>0.01</v>
      </c>
      <c r="AE33" s="97">
        <v>0.01</v>
      </c>
      <c r="AG33" s="45">
        <f t="shared" si="2"/>
        <v>22</v>
      </c>
      <c r="AI33" s="98"/>
      <c r="AJ33" s="55">
        <f t="shared" si="3"/>
      </c>
      <c r="AK33" s="98"/>
      <c r="AL33" s="55">
        <f t="shared" si="4"/>
      </c>
      <c r="AM33" s="98"/>
      <c r="AN33" s="55">
        <f t="shared" si="5"/>
      </c>
      <c r="AO33" s="110"/>
      <c r="AQ33" s="100"/>
      <c r="AR33" s="55">
        <f t="shared" si="6"/>
      </c>
      <c r="AS33" s="98"/>
      <c r="AT33" s="55">
        <f t="shared" si="7"/>
      </c>
      <c r="AU33" s="98"/>
      <c r="AV33" s="55">
        <f t="shared" si="8"/>
      </c>
      <c r="AX33" s="100">
        <v>59924</v>
      </c>
      <c r="AY33" s="101">
        <v>3</v>
      </c>
      <c r="AZ33" s="102">
        <v>3.5</v>
      </c>
      <c r="BA33" s="98">
        <v>37.2</v>
      </c>
      <c r="BB33" s="102">
        <v>36</v>
      </c>
      <c r="BC33" s="98">
        <v>24</v>
      </c>
      <c r="BD33" s="98">
        <v>1995</v>
      </c>
      <c r="BE33" s="103">
        <v>12.33</v>
      </c>
      <c r="BG33" s="100">
        <v>24</v>
      </c>
      <c r="BH33" s="84" t="s">
        <v>224</v>
      </c>
      <c r="BI33" s="104" t="s">
        <v>225</v>
      </c>
      <c r="BK33" s="17"/>
      <c r="BL33" s="19"/>
      <c r="BM33" s="56" t="s">
        <v>1</v>
      </c>
      <c r="BN33" s="20"/>
      <c r="BO33" s="57" t="s">
        <v>130</v>
      </c>
      <c r="BP33" s="26"/>
      <c r="BQ33" s="274">
        <f>(D47)</f>
        <v>2.0235</v>
      </c>
      <c r="BR33" s="274">
        <f>(D45)</f>
        <v>2.59</v>
      </c>
      <c r="BS33" s="26" t="s">
        <v>127</v>
      </c>
      <c r="BT33" s="26"/>
      <c r="BU33" s="272" t="s">
        <v>150</v>
      </c>
      <c r="BV33" s="272" t="s">
        <v>150</v>
      </c>
      <c r="BW33" s="272" t="s">
        <v>150</v>
      </c>
      <c r="BX33" s="272" t="s">
        <v>150</v>
      </c>
      <c r="BY33" s="26"/>
      <c r="BZ33" s="26">
        <v>0</v>
      </c>
      <c r="CA33" s="75" t="s">
        <v>24</v>
      </c>
      <c r="CB33" s="26" t="s">
        <v>25</v>
      </c>
      <c r="CC33" s="137"/>
      <c r="CJ33" s="326" t="s">
        <v>17</v>
      </c>
      <c r="CK33" s="328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5">
        <v>2139606</v>
      </c>
      <c r="D34" s="138">
        <f t="shared" si="0"/>
        <v>2.254</v>
      </c>
      <c r="E34" s="140">
        <v>6.4</v>
      </c>
      <c r="F34" s="141">
        <v>0.4</v>
      </c>
      <c r="G34" s="81" t="str">
        <f t="shared" si="1"/>
        <v>0.00</v>
      </c>
      <c r="H34" s="85">
        <v>2600</v>
      </c>
      <c r="I34" s="86">
        <v>10000</v>
      </c>
      <c r="K34" s="87" t="s">
        <v>208</v>
      </c>
      <c r="L34" s="85">
        <v>63</v>
      </c>
      <c r="M34" s="88">
        <v>1.02</v>
      </c>
      <c r="O34" s="107"/>
      <c r="Q34" s="108">
        <v>31</v>
      </c>
      <c r="R34" s="153">
        <v>0.19</v>
      </c>
      <c r="S34" s="109">
        <v>15</v>
      </c>
      <c r="U34" s="93">
        <v>7.3</v>
      </c>
      <c r="V34" s="94">
        <v>7.1</v>
      </c>
      <c r="W34" s="95">
        <v>6.8</v>
      </c>
      <c r="Y34" s="90">
        <v>19</v>
      </c>
      <c r="Z34" s="96">
        <v>19</v>
      </c>
      <c r="AA34" s="92">
        <v>20</v>
      </c>
      <c r="AC34" s="93">
        <v>10</v>
      </c>
      <c r="AD34" s="91">
        <v>0.01</v>
      </c>
      <c r="AE34" s="97">
        <v>0</v>
      </c>
      <c r="AG34" s="45">
        <f t="shared" si="2"/>
        <v>23</v>
      </c>
      <c r="AI34" s="98"/>
      <c r="AJ34" s="55">
        <f t="shared" si="3"/>
      </c>
      <c r="AK34" s="98"/>
      <c r="AL34" s="55">
        <f t="shared" si="4"/>
      </c>
      <c r="AM34" s="98"/>
      <c r="AN34" s="55">
        <f t="shared" si="5"/>
      </c>
      <c r="AO34" s="110"/>
      <c r="AQ34" s="100"/>
      <c r="AR34" s="55">
        <f t="shared" si="6"/>
      </c>
      <c r="AS34" s="98"/>
      <c r="AT34" s="55">
        <f t="shared" si="7"/>
      </c>
      <c r="AU34" s="98"/>
      <c r="AV34" s="55">
        <f t="shared" si="8"/>
      </c>
      <c r="AX34" s="100"/>
      <c r="AY34" s="101"/>
      <c r="AZ34" s="102"/>
      <c r="BA34" s="98"/>
      <c r="BB34" s="102"/>
      <c r="BC34" s="98"/>
      <c r="BD34" s="98"/>
      <c r="BE34" s="103"/>
      <c r="BG34" s="100"/>
      <c r="BH34" s="84"/>
      <c r="BI34" s="104"/>
      <c r="BK34" s="17"/>
      <c r="BL34" s="19"/>
      <c r="BM34" s="26" t="s">
        <v>86</v>
      </c>
      <c r="BN34" s="20"/>
      <c r="BO34" s="154" t="s">
        <v>131</v>
      </c>
      <c r="BP34" s="26"/>
      <c r="BQ34" s="275">
        <v>3.85</v>
      </c>
      <c r="BR34" s="155" t="s">
        <v>146</v>
      </c>
      <c r="BS34" s="155" t="s">
        <v>127</v>
      </c>
      <c r="BT34" s="26"/>
      <c r="BU34" s="270" t="s">
        <v>150</v>
      </c>
      <c r="BV34" s="270" t="s">
        <v>150</v>
      </c>
      <c r="BW34" s="270" t="s">
        <v>150</v>
      </c>
      <c r="BX34" s="270" t="s">
        <v>150</v>
      </c>
      <c r="BY34" s="26"/>
      <c r="BZ34" s="270" t="s">
        <v>150</v>
      </c>
      <c r="CA34" s="276" t="s">
        <v>24</v>
      </c>
      <c r="CB34" s="155" t="s">
        <v>25</v>
      </c>
      <c r="CC34" s="137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5">
        <v>2141791</v>
      </c>
      <c r="D35" s="138">
        <f t="shared" si="0"/>
        <v>2.185</v>
      </c>
      <c r="E35" s="140">
        <v>3.8</v>
      </c>
      <c r="F35" s="141">
        <v>0.5</v>
      </c>
      <c r="G35" s="81" t="str">
        <f t="shared" si="1"/>
        <v>0.00</v>
      </c>
      <c r="H35" s="85">
        <v>0</v>
      </c>
      <c r="I35" s="86">
        <v>6000</v>
      </c>
      <c r="K35" s="87" t="s">
        <v>208</v>
      </c>
      <c r="L35" s="85">
        <v>61</v>
      </c>
      <c r="M35" s="88">
        <v>0.01</v>
      </c>
      <c r="O35" s="107"/>
      <c r="Q35" s="108">
        <v>30</v>
      </c>
      <c r="R35" s="153">
        <v>0.21</v>
      </c>
      <c r="S35" s="109">
        <v>7</v>
      </c>
      <c r="U35" s="93">
        <v>7.4</v>
      </c>
      <c r="V35" s="94">
        <v>7.1</v>
      </c>
      <c r="W35" s="95">
        <v>6.6</v>
      </c>
      <c r="Y35" s="90">
        <v>19</v>
      </c>
      <c r="Z35" s="96">
        <v>18</v>
      </c>
      <c r="AA35" s="92">
        <v>20</v>
      </c>
      <c r="AC35" s="93">
        <v>6</v>
      </c>
      <c r="AD35" s="91">
        <v>0.01</v>
      </c>
      <c r="AE35" s="97">
        <v>0</v>
      </c>
      <c r="AG35" s="45">
        <f t="shared" si="2"/>
        <v>24</v>
      </c>
      <c r="AI35" s="98">
        <v>317</v>
      </c>
      <c r="AJ35" s="55">
        <f t="shared" si="3"/>
        <v>5776.659299999999</v>
      </c>
      <c r="AK35" s="98"/>
      <c r="AL35" s="55">
        <f t="shared" si="4"/>
      </c>
      <c r="AM35" s="98">
        <v>13</v>
      </c>
      <c r="AN35" s="55">
        <f t="shared" si="5"/>
        <v>236.89770000000001</v>
      </c>
      <c r="AO35" s="110">
        <v>9</v>
      </c>
      <c r="AQ35" s="100">
        <v>326</v>
      </c>
      <c r="AR35" s="55">
        <f t="shared" si="6"/>
        <v>5940.665400000001</v>
      </c>
      <c r="AS35" s="98"/>
      <c r="AT35" s="55">
        <f t="shared" si="7"/>
      </c>
      <c r="AU35" s="98">
        <v>27</v>
      </c>
      <c r="AV35" s="55">
        <f t="shared" si="8"/>
        <v>492.0183</v>
      </c>
      <c r="AX35" s="100">
        <v>39586</v>
      </c>
      <c r="AY35" s="101">
        <v>2</v>
      </c>
      <c r="AZ35" s="102">
        <v>2.25</v>
      </c>
      <c r="BA35" s="98">
        <v>24.8</v>
      </c>
      <c r="BB35" s="102">
        <v>28</v>
      </c>
      <c r="BC35" s="98">
        <v>12</v>
      </c>
      <c r="BD35" s="98"/>
      <c r="BE35" s="103"/>
      <c r="BG35" s="100">
        <v>12</v>
      </c>
      <c r="BH35" s="84" t="s">
        <v>212</v>
      </c>
      <c r="BI35" s="104" t="s">
        <v>211</v>
      </c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30" t="s">
        <v>145</v>
      </c>
      <c r="CK35" s="331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3">
        <v>2143827</v>
      </c>
      <c r="D36" s="139">
        <f t="shared" si="0"/>
        <v>2.036</v>
      </c>
      <c r="E36" s="142">
        <v>3.6</v>
      </c>
      <c r="F36" s="143">
        <v>0.4</v>
      </c>
      <c r="G36" s="184" t="str">
        <f t="shared" si="1"/>
        <v>0.00</v>
      </c>
      <c r="H36" s="113">
        <v>100</v>
      </c>
      <c r="I36" s="114">
        <v>9500</v>
      </c>
      <c r="K36" s="115" t="s">
        <v>210</v>
      </c>
      <c r="L36" s="113">
        <v>63</v>
      </c>
      <c r="M36" s="116">
        <v>0.02</v>
      </c>
      <c r="O36" s="117"/>
      <c r="Q36" s="257">
        <v>34</v>
      </c>
      <c r="R36" s="258">
        <v>0.15</v>
      </c>
      <c r="S36" s="263"/>
      <c r="U36" s="118">
        <v>7.4</v>
      </c>
      <c r="V36" s="119">
        <v>7.1</v>
      </c>
      <c r="W36" s="120">
        <v>6.7</v>
      </c>
      <c r="Y36" s="121">
        <v>18</v>
      </c>
      <c r="Z36" s="122">
        <v>18</v>
      </c>
      <c r="AA36" s="123">
        <v>19</v>
      </c>
      <c r="AC36" s="118">
        <v>5</v>
      </c>
      <c r="AD36" s="124">
        <v>0.1</v>
      </c>
      <c r="AE36" s="125">
        <v>0.01</v>
      </c>
      <c r="AG36" s="45">
        <f t="shared" si="2"/>
        <v>25</v>
      </c>
      <c r="AI36" s="126">
        <v>330</v>
      </c>
      <c r="AJ36" s="65">
        <f t="shared" si="3"/>
        <v>5603.4792</v>
      </c>
      <c r="AK36" s="126"/>
      <c r="AL36" s="65">
        <f t="shared" si="4"/>
      </c>
      <c r="AM36" s="126">
        <v>12</v>
      </c>
      <c r="AN36" s="65">
        <f t="shared" si="5"/>
        <v>203.76288000000002</v>
      </c>
      <c r="AO36" s="127">
        <v>8</v>
      </c>
      <c r="AQ36" s="128">
        <v>356</v>
      </c>
      <c r="AR36" s="65">
        <f t="shared" si="6"/>
        <v>6044.96544</v>
      </c>
      <c r="AS36" s="126"/>
      <c r="AT36" s="65">
        <f t="shared" si="7"/>
      </c>
      <c r="AU36" s="126">
        <v>23</v>
      </c>
      <c r="AV36" s="65">
        <f t="shared" si="8"/>
        <v>390.54552</v>
      </c>
      <c r="AX36" s="128">
        <v>56512</v>
      </c>
      <c r="AY36" s="129">
        <v>3</v>
      </c>
      <c r="AZ36" s="130">
        <v>3.5</v>
      </c>
      <c r="BA36" s="126">
        <v>37.2</v>
      </c>
      <c r="BB36" s="130">
        <v>28</v>
      </c>
      <c r="BC36" s="126">
        <v>24</v>
      </c>
      <c r="BD36" s="126"/>
      <c r="BE36" s="131"/>
      <c r="BG36" s="128">
        <v>24</v>
      </c>
      <c r="BH36" s="111" t="s">
        <v>212</v>
      </c>
      <c r="BI36" s="132" t="s">
        <v>211</v>
      </c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5">
        <v>2145831</v>
      </c>
      <c r="D37" s="138">
        <f t="shared" si="0"/>
        <v>2.004</v>
      </c>
      <c r="E37" s="140">
        <v>4.4</v>
      </c>
      <c r="F37" s="141">
        <v>0.5</v>
      </c>
      <c r="G37" s="81" t="str">
        <f t="shared" si="1"/>
        <v>0.00</v>
      </c>
      <c r="H37" s="85">
        <v>1700</v>
      </c>
      <c r="I37" s="86">
        <v>8000</v>
      </c>
      <c r="K37" s="87" t="s">
        <v>228</v>
      </c>
      <c r="L37" s="85">
        <v>58</v>
      </c>
      <c r="M37" s="88">
        <v>0.69</v>
      </c>
      <c r="O37" s="107"/>
      <c r="Q37" s="108">
        <v>29</v>
      </c>
      <c r="R37" s="153">
        <v>0.24</v>
      </c>
      <c r="S37" s="109"/>
      <c r="U37" s="93">
        <v>7.3</v>
      </c>
      <c r="V37" s="94">
        <v>7.1</v>
      </c>
      <c r="W37" s="95">
        <v>6.8</v>
      </c>
      <c r="Y37" s="90">
        <v>19</v>
      </c>
      <c r="Z37" s="96">
        <v>18</v>
      </c>
      <c r="AA37" s="92">
        <v>19</v>
      </c>
      <c r="AC37" s="93">
        <v>26</v>
      </c>
      <c r="AD37" s="91">
        <v>0.01</v>
      </c>
      <c r="AE37" s="97">
        <v>0</v>
      </c>
      <c r="AG37" s="45">
        <f t="shared" si="2"/>
        <v>26</v>
      </c>
      <c r="AI37" s="98">
        <v>372</v>
      </c>
      <c r="AJ37" s="55">
        <f t="shared" si="3"/>
        <v>6217.36992</v>
      </c>
      <c r="AK37" s="98">
        <v>224</v>
      </c>
      <c r="AL37" s="55">
        <f t="shared" si="4"/>
        <v>3743.79264</v>
      </c>
      <c r="AM37" s="98">
        <v>16</v>
      </c>
      <c r="AN37" s="55">
        <f t="shared" si="5"/>
        <v>267.41375999999997</v>
      </c>
      <c r="AO37" s="110">
        <v>11</v>
      </c>
      <c r="AQ37" s="100">
        <v>394</v>
      </c>
      <c r="AR37" s="55">
        <f t="shared" si="6"/>
        <v>6585.06384</v>
      </c>
      <c r="AS37" s="98">
        <v>145</v>
      </c>
      <c r="AT37" s="55">
        <f t="shared" si="7"/>
        <v>2423.4372</v>
      </c>
      <c r="AU37" s="98">
        <v>28</v>
      </c>
      <c r="AV37" s="55">
        <f t="shared" si="8"/>
        <v>467.97408</v>
      </c>
      <c r="AX37" s="100"/>
      <c r="AY37" s="101"/>
      <c r="AZ37" s="102"/>
      <c r="BA37" s="98"/>
      <c r="BB37" s="102"/>
      <c r="BC37" s="98"/>
      <c r="BD37" s="98"/>
      <c r="BE37" s="103"/>
      <c r="BG37" s="100"/>
      <c r="BH37" s="84"/>
      <c r="BI37" s="104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36">
        <f>(IF(((SUM(AJ12:AJ42))=0)," ",(((AJ47-(D47*AO47*8.346))/AJ47)*100)))</f>
        <v>97.44327184500263</v>
      </c>
      <c r="CK37" s="3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5">
        <v>2147990</v>
      </c>
      <c r="D38" s="138">
        <f t="shared" si="0"/>
        <v>2.159</v>
      </c>
      <c r="E38" s="140">
        <v>3.6</v>
      </c>
      <c r="F38" s="141">
        <v>0.4</v>
      </c>
      <c r="G38" s="81" t="str">
        <f t="shared" si="1"/>
        <v>0.00</v>
      </c>
      <c r="H38" s="85">
        <v>2000</v>
      </c>
      <c r="I38" s="86">
        <v>1000</v>
      </c>
      <c r="K38" s="87" t="s">
        <v>208</v>
      </c>
      <c r="L38" s="85">
        <v>63</v>
      </c>
      <c r="M38" s="88">
        <v>0.01</v>
      </c>
      <c r="O38" s="107"/>
      <c r="Q38" s="108">
        <v>31</v>
      </c>
      <c r="R38" s="153">
        <v>0.13</v>
      </c>
      <c r="S38" s="109"/>
      <c r="U38" s="93">
        <v>7.1</v>
      </c>
      <c r="V38" s="94">
        <v>7.1</v>
      </c>
      <c r="W38" s="95">
        <v>6.6</v>
      </c>
      <c r="Y38" s="90">
        <v>18</v>
      </c>
      <c r="Z38" s="96">
        <v>18</v>
      </c>
      <c r="AA38" s="92">
        <v>19</v>
      </c>
      <c r="AC38" s="93">
        <v>4</v>
      </c>
      <c r="AD38" s="91">
        <v>0.1</v>
      </c>
      <c r="AE38" s="97">
        <v>0</v>
      </c>
      <c r="AG38" s="45">
        <f t="shared" si="2"/>
        <v>27</v>
      </c>
      <c r="AI38" s="98"/>
      <c r="AJ38" s="55">
        <f t="shared" si="3"/>
      </c>
      <c r="AK38" s="98"/>
      <c r="AL38" s="55">
        <f t="shared" si="4"/>
      </c>
      <c r="AM38" s="98"/>
      <c r="AN38" s="55">
        <f t="shared" si="5"/>
      </c>
      <c r="AO38" s="110"/>
      <c r="AQ38" s="100"/>
      <c r="AR38" s="55">
        <f t="shared" si="6"/>
      </c>
      <c r="AS38" s="98"/>
      <c r="AT38" s="55">
        <f t="shared" si="7"/>
      </c>
      <c r="AU38" s="98"/>
      <c r="AV38" s="55">
        <f t="shared" si="8"/>
      </c>
      <c r="AX38" s="100"/>
      <c r="AY38" s="101"/>
      <c r="AZ38" s="102"/>
      <c r="BA38" s="98"/>
      <c r="BB38" s="102"/>
      <c r="BC38" s="98"/>
      <c r="BD38" s="98"/>
      <c r="BE38" s="103"/>
      <c r="BG38" s="100"/>
      <c r="BH38" s="84"/>
      <c r="BI38" s="104"/>
      <c r="BK38" s="17"/>
      <c r="BL38" s="19"/>
      <c r="BM38" s="56" t="s">
        <v>117</v>
      </c>
      <c r="BN38" s="20"/>
      <c r="BO38" s="57" t="s">
        <v>130</v>
      </c>
      <c r="BP38" s="26"/>
      <c r="BQ38" s="272" t="s">
        <v>150</v>
      </c>
      <c r="BR38" s="272" t="s">
        <v>150</v>
      </c>
      <c r="BS38" s="272" t="s">
        <v>150</v>
      </c>
      <c r="BT38" s="26"/>
      <c r="BU38" s="68">
        <f>(AN49)</f>
        <v>96.2527224248867</v>
      </c>
      <c r="BV38" s="272" t="s">
        <v>150</v>
      </c>
      <c r="BW38" s="272" t="s">
        <v>150</v>
      </c>
      <c r="BX38" s="26" t="s">
        <v>129</v>
      </c>
      <c r="BY38" s="26"/>
      <c r="BZ38" s="26">
        <v>0</v>
      </c>
      <c r="CA38" s="267" t="s">
        <v>49</v>
      </c>
      <c r="CB38" s="26" t="s">
        <v>26</v>
      </c>
      <c r="CC38" s="137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5">
        <v>2150018</v>
      </c>
      <c r="D39" s="138">
        <f t="shared" si="0"/>
        <v>2.028</v>
      </c>
      <c r="E39" s="140">
        <v>5.8</v>
      </c>
      <c r="F39" s="141">
        <v>0.5</v>
      </c>
      <c r="G39" s="81" t="str">
        <f t="shared" si="1"/>
        <v>0.00</v>
      </c>
      <c r="H39" s="85">
        <v>0</v>
      </c>
      <c r="I39" s="86">
        <v>0</v>
      </c>
      <c r="K39" s="87" t="s">
        <v>228</v>
      </c>
      <c r="L39" s="85">
        <v>64</v>
      </c>
      <c r="M39" s="88">
        <v>1.19</v>
      </c>
      <c r="O39" s="107"/>
      <c r="Q39" s="108">
        <v>29</v>
      </c>
      <c r="R39" s="153">
        <v>0.19</v>
      </c>
      <c r="S39" s="109">
        <v>14</v>
      </c>
      <c r="U39" s="93">
        <v>7.1</v>
      </c>
      <c r="V39" s="94">
        <v>7</v>
      </c>
      <c r="W39" s="95">
        <v>6.6</v>
      </c>
      <c r="Y39" s="90">
        <v>18</v>
      </c>
      <c r="Z39" s="96">
        <v>18</v>
      </c>
      <c r="AA39" s="92">
        <v>19</v>
      </c>
      <c r="AC39" s="93">
        <v>6</v>
      </c>
      <c r="AD39" s="91">
        <v>0.01</v>
      </c>
      <c r="AE39" s="97">
        <v>0.01</v>
      </c>
      <c r="AG39" s="45">
        <f t="shared" si="2"/>
        <v>28</v>
      </c>
      <c r="AI39" s="98"/>
      <c r="AJ39" s="55">
        <f t="shared" si="3"/>
      </c>
      <c r="AK39" s="98"/>
      <c r="AL39" s="55">
        <f t="shared" si="4"/>
      </c>
      <c r="AM39" s="98"/>
      <c r="AN39" s="55">
        <f t="shared" si="5"/>
      </c>
      <c r="AO39" s="110"/>
      <c r="AQ39" s="100"/>
      <c r="AR39" s="55">
        <f t="shared" si="6"/>
      </c>
      <c r="AS39" s="98"/>
      <c r="AT39" s="55">
        <f t="shared" si="7"/>
      </c>
      <c r="AU39" s="98"/>
      <c r="AV39" s="55">
        <f t="shared" si="8"/>
      </c>
      <c r="AX39" s="100"/>
      <c r="AY39" s="101"/>
      <c r="AZ39" s="102"/>
      <c r="BA39" s="98"/>
      <c r="BB39" s="102"/>
      <c r="BC39" s="98"/>
      <c r="BD39" s="98"/>
      <c r="BE39" s="103"/>
      <c r="BG39" s="100"/>
      <c r="BH39" s="84"/>
      <c r="BI39" s="104"/>
      <c r="BK39" s="17"/>
      <c r="BL39" s="19"/>
      <c r="BM39" s="26" t="s">
        <v>118</v>
      </c>
      <c r="BN39" s="20"/>
      <c r="BO39" s="154" t="s">
        <v>131</v>
      </c>
      <c r="BP39" s="26"/>
      <c r="BQ39" s="270" t="s">
        <v>150</v>
      </c>
      <c r="BR39" s="270" t="s">
        <v>150</v>
      </c>
      <c r="BS39" s="270" t="s">
        <v>150</v>
      </c>
      <c r="BT39" s="26"/>
      <c r="BU39" s="273">
        <v>85</v>
      </c>
      <c r="BV39" s="270" t="s">
        <v>150</v>
      </c>
      <c r="BW39" s="270" t="s">
        <v>150</v>
      </c>
      <c r="BX39" s="155" t="s">
        <v>129</v>
      </c>
      <c r="BY39" s="26"/>
      <c r="BZ39" s="270" t="s">
        <v>150</v>
      </c>
      <c r="CA39" s="271" t="s">
        <v>49</v>
      </c>
      <c r="CB39" s="155" t="s">
        <v>26</v>
      </c>
      <c r="CC39" s="137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5">
        <v>2152608</v>
      </c>
      <c r="D40" s="138">
        <f t="shared" si="0"/>
        <v>2.59</v>
      </c>
      <c r="E40" s="140">
        <v>5.2</v>
      </c>
      <c r="F40" s="141">
        <v>0.6</v>
      </c>
      <c r="G40" s="81" t="str">
        <f t="shared" si="1"/>
        <v>0.00</v>
      </c>
      <c r="H40" s="85">
        <v>1900</v>
      </c>
      <c r="I40" s="86">
        <v>6000</v>
      </c>
      <c r="K40" s="87" t="s">
        <v>208</v>
      </c>
      <c r="L40" s="85">
        <v>61</v>
      </c>
      <c r="M40" s="88">
        <v>0.09</v>
      </c>
      <c r="O40" s="107"/>
      <c r="Q40" s="108">
        <v>33</v>
      </c>
      <c r="R40" s="153">
        <v>0.22</v>
      </c>
      <c r="S40" s="109">
        <v>15</v>
      </c>
      <c r="U40" s="93">
        <v>7.3</v>
      </c>
      <c r="V40" s="94">
        <v>7.1</v>
      </c>
      <c r="W40" s="95">
        <v>6.6</v>
      </c>
      <c r="Y40" s="90">
        <v>18</v>
      </c>
      <c r="Z40" s="96">
        <v>18</v>
      </c>
      <c r="AA40" s="92">
        <v>19</v>
      </c>
      <c r="AC40" s="93">
        <v>25</v>
      </c>
      <c r="AD40" s="91">
        <v>0.01</v>
      </c>
      <c r="AE40" s="97">
        <v>0</v>
      </c>
      <c r="AG40" s="45">
        <f t="shared" si="2"/>
        <v>29</v>
      </c>
      <c r="AI40" s="98"/>
      <c r="AJ40" s="55">
        <f t="shared" si="3"/>
      </c>
      <c r="AK40" s="98"/>
      <c r="AL40" s="55">
        <f t="shared" si="4"/>
      </c>
      <c r="AM40" s="98"/>
      <c r="AN40" s="55">
        <f t="shared" si="5"/>
      </c>
      <c r="AO40" s="110"/>
      <c r="AQ40" s="100"/>
      <c r="AR40" s="55">
        <f t="shared" si="6"/>
      </c>
      <c r="AS40" s="98"/>
      <c r="AT40" s="55">
        <f t="shared" si="7"/>
      </c>
      <c r="AU40" s="98"/>
      <c r="AV40" s="55">
        <f t="shared" si="8"/>
      </c>
      <c r="AX40" s="100">
        <v>63745</v>
      </c>
      <c r="AY40" s="101">
        <v>4</v>
      </c>
      <c r="AZ40" s="102">
        <v>4</v>
      </c>
      <c r="BA40" s="98">
        <v>40.3</v>
      </c>
      <c r="BB40" s="102">
        <v>30</v>
      </c>
      <c r="BC40" s="98">
        <v>24</v>
      </c>
      <c r="BD40" s="98"/>
      <c r="BE40" s="103"/>
      <c r="BG40" s="100">
        <v>24</v>
      </c>
      <c r="BH40" s="84" t="s">
        <v>212</v>
      </c>
      <c r="BI40" s="104" t="s">
        <v>211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5">
        <v>2154915</v>
      </c>
      <c r="D41" s="138">
        <f t="shared" si="0"/>
        <v>2.307</v>
      </c>
      <c r="E41" s="140">
        <v>3.6</v>
      </c>
      <c r="F41" s="141">
        <v>0.6</v>
      </c>
      <c r="G41" s="81" t="str">
        <f t="shared" si="1"/>
        <v>0.00</v>
      </c>
      <c r="H41" s="85">
        <v>3000</v>
      </c>
      <c r="I41" s="86">
        <v>9250</v>
      </c>
      <c r="K41" s="87" t="s">
        <v>210</v>
      </c>
      <c r="L41" s="85">
        <v>53</v>
      </c>
      <c r="M41" s="88">
        <v>0.01</v>
      </c>
      <c r="O41" s="107"/>
      <c r="Q41" s="108">
        <v>32</v>
      </c>
      <c r="R41" s="153">
        <v>0.18</v>
      </c>
      <c r="S41" s="109">
        <v>134</v>
      </c>
      <c r="U41" s="93">
        <v>7.4</v>
      </c>
      <c r="V41" s="94">
        <v>7.1</v>
      </c>
      <c r="W41" s="95">
        <v>6.8</v>
      </c>
      <c r="Y41" s="90">
        <v>18</v>
      </c>
      <c r="Z41" s="96">
        <v>18</v>
      </c>
      <c r="AA41" s="92">
        <v>19</v>
      </c>
      <c r="AC41" s="93">
        <v>6</v>
      </c>
      <c r="AD41" s="91">
        <v>0.01</v>
      </c>
      <c r="AE41" s="97">
        <v>0</v>
      </c>
      <c r="AG41" s="45">
        <f t="shared" si="2"/>
        <v>30</v>
      </c>
      <c r="AI41" s="98"/>
      <c r="AJ41" s="55">
        <f t="shared" si="3"/>
      </c>
      <c r="AK41" s="98"/>
      <c r="AL41" s="55">
        <f t="shared" si="4"/>
      </c>
      <c r="AM41" s="98"/>
      <c r="AN41" s="55">
        <f t="shared" si="5"/>
      </c>
      <c r="AO41" s="110"/>
      <c r="AQ41" s="100"/>
      <c r="AR41" s="55">
        <f t="shared" si="6"/>
      </c>
      <c r="AS41" s="98"/>
      <c r="AT41" s="55">
        <f t="shared" si="7"/>
      </c>
      <c r="AU41" s="98"/>
      <c r="AV41" s="55">
        <f t="shared" si="8"/>
      </c>
      <c r="AX41" s="100"/>
      <c r="AY41" s="101"/>
      <c r="AZ41" s="102"/>
      <c r="BA41" s="98"/>
      <c r="BB41" s="102"/>
      <c r="BC41" s="98"/>
      <c r="BD41" s="98"/>
      <c r="BE41" s="103"/>
      <c r="BG41" s="100"/>
      <c r="BH41" s="84"/>
      <c r="BI41" s="104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3"/>
      <c r="D42" s="139" t="str">
        <f t="shared" si="0"/>
        <v> </v>
      </c>
      <c r="E42" s="142"/>
      <c r="F42" s="143"/>
      <c r="G42" s="184" t="str">
        <f t="shared" si="1"/>
        <v> </v>
      </c>
      <c r="H42" s="113"/>
      <c r="I42" s="114"/>
      <c r="K42" s="115"/>
      <c r="L42" s="113"/>
      <c r="M42" s="116"/>
      <c r="O42" s="117"/>
      <c r="Q42" s="257"/>
      <c r="R42" s="258"/>
      <c r="S42" s="114"/>
      <c r="U42" s="134"/>
      <c r="V42" s="135"/>
      <c r="W42" s="136"/>
      <c r="Y42" s="133"/>
      <c r="Z42" s="113"/>
      <c r="AA42" s="114"/>
      <c r="AC42" s="134"/>
      <c r="AD42" s="112"/>
      <c r="AE42" s="116"/>
      <c r="AG42" s="45">
        <f t="shared" si="2"/>
        <v>31</v>
      </c>
      <c r="AI42" s="126"/>
      <c r="AJ42" s="65">
        <f t="shared" si="3"/>
      </c>
      <c r="AK42" s="126"/>
      <c r="AL42" s="65">
        <f t="shared" si="4"/>
      </c>
      <c r="AM42" s="126"/>
      <c r="AN42" s="65">
        <f t="shared" si="5"/>
      </c>
      <c r="AO42" s="127"/>
      <c r="AQ42" s="128"/>
      <c r="AR42" s="65">
        <f t="shared" si="6"/>
      </c>
      <c r="AS42" s="126"/>
      <c r="AT42" s="65">
        <f t="shared" si="7"/>
      </c>
      <c r="AU42" s="126"/>
      <c r="AV42" s="65">
        <f t="shared" si="8"/>
      </c>
      <c r="AX42" s="128"/>
      <c r="AY42" s="129"/>
      <c r="AZ42" s="130"/>
      <c r="BA42" s="126"/>
      <c r="BB42" s="130"/>
      <c r="BC42" s="126"/>
      <c r="BD42" s="126"/>
      <c r="BE42" s="131"/>
      <c r="BG42" s="128"/>
      <c r="BH42" s="111"/>
      <c r="BI42" s="13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9"/>
      <c r="D43" s="190"/>
      <c r="E43" s="190" t="s">
        <v>2</v>
      </c>
      <c r="F43" s="190"/>
      <c r="G43" s="191"/>
      <c r="H43" s="189" t="s">
        <v>2</v>
      </c>
      <c r="I43" s="189" t="s">
        <v>2</v>
      </c>
      <c r="K43" s="51"/>
      <c r="L43" s="189"/>
      <c r="M43" s="191"/>
      <c r="O43" s="192"/>
      <c r="Q43" s="189"/>
      <c r="R43" s="191"/>
      <c r="S43" s="189"/>
      <c r="U43" s="192"/>
      <c r="V43" s="192"/>
      <c r="W43" s="192"/>
      <c r="Y43" s="189"/>
      <c r="Z43" s="189"/>
      <c r="AA43" s="189"/>
      <c r="AC43" s="192"/>
      <c r="AD43" s="191"/>
      <c r="AE43" s="191"/>
      <c r="AG43" s="45"/>
      <c r="AI43" s="193"/>
      <c r="AJ43" s="193"/>
      <c r="AK43" s="193"/>
      <c r="AL43" s="193"/>
      <c r="AM43" s="193"/>
      <c r="AN43" s="193"/>
      <c r="AO43" s="193"/>
      <c r="AQ43" s="193"/>
      <c r="AR43" s="193"/>
      <c r="AS43" s="193"/>
      <c r="AT43" s="193"/>
      <c r="AU43" s="193"/>
      <c r="AV43" s="193"/>
      <c r="AX43" s="193"/>
      <c r="AY43" s="194"/>
      <c r="AZ43" s="194"/>
      <c r="BA43" s="193"/>
      <c r="BB43" s="194"/>
      <c r="BC43" s="193"/>
      <c r="BD43" s="193"/>
      <c r="BE43" s="195"/>
      <c r="BG43" s="193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2" t="s">
        <v>150</v>
      </c>
      <c r="BR43" s="272" t="s">
        <v>150</v>
      </c>
      <c r="BS43" s="272" t="s">
        <v>150</v>
      </c>
      <c r="BT43" s="26"/>
      <c r="BU43" s="68">
        <f>(AU49)</f>
        <v>94.3176525384257</v>
      </c>
      <c r="BV43" s="272" t="s">
        <v>150</v>
      </c>
      <c r="BW43" s="272" t="s">
        <v>150</v>
      </c>
      <c r="BX43" s="26" t="s">
        <v>129</v>
      </c>
      <c r="BY43" s="26"/>
      <c r="BZ43" s="26">
        <v>0</v>
      </c>
      <c r="CA43" s="267" t="s">
        <v>49</v>
      </c>
      <c r="CB43" s="26" t="s">
        <v>26</v>
      </c>
      <c r="CC43" s="137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9">
        <f>(IF(((SUM(C12:C42))=0)," ",((MAX(C12:C42))-C11)))</f>
        <v>60705</v>
      </c>
      <c r="D44" s="228">
        <f>(IF(((SUM(D12:D42))=0)," ",(SUM(D12:D42))))</f>
        <v>60.705</v>
      </c>
      <c r="E44" s="197" t="s">
        <v>150</v>
      </c>
      <c r="F44" s="198" t="s">
        <v>150</v>
      </c>
      <c r="G44" s="227">
        <f>(SUM(G12:G42))</f>
        <v>0</v>
      </c>
      <c r="H44" s="189">
        <f>(IF(((SUM(H12:H42))=0)," ",(SUM(H12:H42))))</f>
        <v>63350</v>
      </c>
      <c r="I44" s="196">
        <f>(IF(((SUM(I12:I42))=0)," ",(SUM(I12:I42))))</f>
        <v>197800</v>
      </c>
      <c r="K44" s="200" t="s">
        <v>150</v>
      </c>
      <c r="L44" s="201" t="s">
        <v>150</v>
      </c>
      <c r="M44" s="202">
        <f>(IF(((SUM(M12:M42))=0)," ",(SUM(M11:M42))))</f>
        <v>6.769999999999998</v>
      </c>
      <c r="O44" s="203" t="str">
        <f>(IF(((SUM(O12:O42))=0),"0.0",(SUM(O11:O42))))</f>
        <v>0.0</v>
      </c>
      <c r="Q44" s="199">
        <f>(IF(((SUM(Q12:Q42))=0),"0",(SUM(Q11:Q42))))</f>
        <v>769</v>
      </c>
      <c r="R44" s="204" t="s">
        <v>150</v>
      </c>
      <c r="S44" s="205" t="s">
        <v>150</v>
      </c>
      <c r="U44" s="206" t="s">
        <v>150</v>
      </c>
      <c r="V44" s="201" t="s">
        <v>150</v>
      </c>
      <c r="W44" s="207" t="s">
        <v>150</v>
      </c>
      <c r="Y44" s="208" t="s">
        <v>150</v>
      </c>
      <c r="Z44" s="209" t="s">
        <v>150</v>
      </c>
      <c r="AA44" s="205" t="s">
        <v>150</v>
      </c>
      <c r="AC44" s="206" t="s">
        <v>150</v>
      </c>
      <c r="AD44" s="204" t="s">
        <v>150</v>
      </c>
      <c r="AE44" s="210" t="s">
        <v>150</v>
      </c>
      <c r="AG44" s="26" t="str">
        <f>($A44)</f>
        <v>Total</v>
      </c>
      <c r="AI44" s="209" t="s">
        <v>150</v>
      </c>
      <c r="AJ44" s="209" t="s">
        <v>150</v>
      </c>
      <c r="AK44" s="208" t="s">
        <v>150</v>
      </c>
      <c r="AL44" s="205" t="s">
        <v>150</v>
      </c>
      <c r="AM44" s="208" t="s">
        <v>150</v>
      </c>
      <c r="AN44" s="205" t="s">
        <v>150</v>
      </c>
      <c r="AO44" s="211" t="s">
        <v>150</v>
      </c>
      <c r="AQ44" s="208" t="s">
        <v>150</v>
      </c>
      <c r="AR44" s="205" t="s">
        <v>150</v>
      </c>
      <c r="AS44" s="208" t="s">
        <v>150</v>
      </c>
      <c r="AT44" s="205" t="s">
        <v>150</v>
      </c>
      <c r="AU44" s="208" t="s">
        <v>150</v>
      </c>
      <c r="AV44" s="205" t="s">
        <v>150</v>
      </c>
      <c r="AX44" s="199">
        <f>(IF(((SUM(AX12:AX42))=0)," ",(SUM(AX12:AX42))))</f>
        <v>607841</v>
      </c>
      <c r="AY44" s="201" t="s">
        <v>150</v>
      </c>
      <c r="AZ44" s="212">
        <f>(IF(((SUM(AZ12:AZ42))=0)," ",(SUM(AZ12:AZ42))))</f>
        <v>37.25</v>
      </c>
      <c r="BA44" s="199">
        <f>(IF(((SUM(BA12:BA42))=0)," ",(SUM(BA12:BA42))))</f>
        <v>393.7</v>
      </c>
      <c r="BB44" s="207" t="s">
        <v>150</v>
      </c>
      <c r="BC44" s="199">
        <f>(IF(((SUM(BC12:BC42))=0)," ",(SUM(BC12:BC42))))</f>
        <v>240</v>
      </c>
      <c r="BD44" s="189">
        <f>(IF(((SUM(BD12:BD42))=0)," ",(SUM(BD12:BD42))))</f>
        <v>18181</v>
      </c>
      <c r="BE44" s="210" t="s">
        <v>150</v>
      </c>
      <c r="BG44" s="199">
        <f>(IF(((SUM(BG12:BG42))=0)," ",(SUM(BG12:BG42))))</f>
        <v>240</v>
      </c>
      <c r="BH44" s="214" t="s">
        <v>150</v>
      </c>
      <c r="BI44" s="215" t="s">
        <v>150</v>
      </c>
      <c r="BK44" s="17"/>
      <c r="BL44" s="19"/>
      <c r="BM44" s="26" t="s">
        <v>118</v>
      </c>
      <c r="BN44" s="20"/>
      <c r="BO44" s="154" t="s">
        <v>131</v>
      </c>
      <c r="BP44" s="26"/>
      <c r="BQ44" s="270" t="s">
        <v>150</v>
      </c>
      <c r="BR44" s="270" t="s">
        <v>150</v>
      </c>
      <c r="BS44" s="270" t="s">
        <v>150</v>
      </c>
      <c r="BT44" s="26"/>
      <c r="BU44" s="273">
        <v>85</v>
      </c>
      <c r="BV44" s="270" t="s">
        <v>150</v>
      </c>
      <c r="BW44" s="270" t="s">
        <v>150</v>
      </c>
      <c r="BX44" s="155" t="s">
        <v>129</v>
      </c>
      <c r="BY44" s="26"/>
      <c r="BZ44" s="270" t="s">
        <v>150</v>
      </c>
      <c r="CA44" s="271" t="s">
        <v>49</v>
      </c>
      <c r="CB44" s="155" t="s">
        <v>26</v>
      </c>
      <c r="CC44" s="137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9" t="s">
        <v>150</v>
      </c>
      <c r="D45" s="217">
        <f>(IF((SUM(D12:D42))=0," ",(MAX(D12:D42))))</f>
        <v>2.59</v>
      </c>
      <c r="E45" s="216">
        <f>(IF((SUM(E12:E42))=0," ",(MAX(E12:E42))))</f>
        <v>7.3</v>
      </c>
      <c r="F45" s="217">
        <f>(IF((SUM(F12:F42))=0," ",(MAX(F12:F42))))</f>
        <v>0.6</v>
      </c>
      <c r="G45" s="216">
        <f>(MAX(G12:G42))</f>
        <v>0</v>
      </c>
      <c r="H45" s="162">
        <f>(IF((SUM(H12:H42))=0," ",(MAX(H12:H42))))</f>
        <v>11400</v>
      </c>
      <c r="I45" s="163">
        <f>(IF((SUM(I12:I42))=0," ",(MAX(I12:I42))))</f>
        <v>10000</v>
      </c>
      <c r="K45" s="180" t="s">
        <v>150</v>
      </c>
      <c r="L45" s="183">
        <f>(IF((SUM(L12:L42))=0," ",(MAX(L12:L42))))</f>
        <v>68</v>
      </c>
      <c r="M45" s="219">
        <f>(IF((SUM(M12:M42))=0," ",(MAX(M12:M42))))</f>
        <v>1.64</v>
      </c>
      <c r="O45" s="220" t="s">
        <v>150</v>
      </c>
      <c r="Q45" s="221" t="s">
        <v>150</v>
      </c>
      <c r="R45" s="184">
        <f>(IF(((SUM(R12:R42))=0),"-",(MAX(R12:R42))))</f>
        <v>0.31</v>
      </c>
      <c r="S45" s="163">
        <f>(IF(((SUM(S12:S42))=0),"-",(MAX(S12:S42))))</f>
        <v>725</v>
      </c>
      <c r="U45" s="222">
        <f>(IF((SUM(U12:U42))=0," ",(MAX(U12:U42))))</f>
        <v>7.8</v>
      </c>
      <c r="V45" s="183">
        <f>(IF((SUM(V12:V42))=0," ",(MAX(V12:V42))))</f>
        <v>7.1</v>
      </c>
      <c r="W45" s="223">
        <f>(IF((SUM(W12:W42))=0," ",(MAX(W12:W42))))</f>
        <v>7</v>
      </c>
      <c r="Y45" s="218">
        <f>(IF((SUM(Y12:Y42))=0," ",(MAX(Y12:Y42))))</f>
        <v>19</v>
      </c>
      <c r="Z45" s="162">
        <f>(IF((SUM(Z12:Z42))=0," ",(MAX(Z12:Z42))))</f>
        <v>19</v>
      </c>
      <c r="AA45" s="163">
        <f>(IF((SUM(AA12:AA42))=0," ",(MAX(AA12:AA42))))</f>
        <v>20</v>
      </c>
      <c r="AC45" s="222">
        <f>(IF((SUM(AC12:AC42))=0," ",(MAX(AC12:AC42))))</f>
        <v>26</v>
      </c>
      <c r="AD45" s="184">
        <f>(IF((SUM(AD12:AD42))=0," ",(MAX(AD12:AD42))))</f>
        <v>0.4</v>
      </c>
      <c r="AE45" s="219">
        <f>(IF((COUNT(AE12:AE42))=0," ",(MAX(AE12:AE42))))</f>
        <v>0.01</v>
      </c>
      <c r="AG45" s="26" t="str">
        <f>($A45)</f>
        <v>Maximum</v>
      </c>
      <c r="AI45" s="162">
        <f aca="true" t="shared" si="9" ref="AI45:AO45">(IF((SUM(AI12:AI42))=0," ",(MAX(AI12:AI42))))</f>
        <v>420</v>
      </c>
      <c r="AJ45" s="162">
        <f t="shared" si="9"/>
        <v>6806.57424</v>
      </c>
      <c r="AK45" s="218">
        <f t="shared" si="9"/>
        <v>224</v>
      </c>
      <c r="AL45" s="163">
        <f t="shared" si="9"/>
        <v>4014.35892</v>
      </c>
      <c r="AM45" s="218">
        <f t="shared" si="9"/>
        <v>17</v>
      </c>
      <c r="AN45" s="163">
        <f t="shared" si="9"/>
        <v>327.79535999999996</v>
      </c>
      <c r="AO45" s="224">
        <f t="shared" si="9"/>
        <v>14</v>
      </c>
      <c r="AQ45" s="218">
        <f aca="true" t="shared" si="10" ref="AQ45:AV45">(IF((SUM(AQ12:AQ42))=0," ",(MAX(AQ12:AQ42))))</f>
        <v>456</v>
      </c>
      <c r="AR45" s="163">
        <f t="shared" si="10"/>
        <v>8792.62848</v>
      </c>
      <c r="AS45" s="218">
        <f t="shared" si="10"/>
        <v>145</v>
      </c>
      <c r="AT45" s="163">
        <f t="shared" si="10"/>
        <v>2423.4372</v>
      </c>
      <c r="AU45" s="218">
        <f t="shared" si="10"/>
        <v>28</v>
      </c>
      <c r="AV45" s="163">
        <f t="shared" si="10"/>
        <v>492.0183</v>
      </c>
      <c r="AX45" s="221" t="s">
        <v>150</v>
      </c>
      <c r="AY45" s="183">
        <f>(IF((SUM(AY12:AY42))=0," ",(MAX(AY12:AY42))))</f>
        <v>4</v>
      </c>
      <c r="AZ45" s="225" t="s">
        <v>150</v>
      </c>
      <c r="BA45" s="221" t="s">
        <v>150</v>
      </c>
      <c r="BB45" s="223">
        <f>(IF((SUM(BB12:BB42))=0," ",(MAX(BB12:BB42))))</f>
        <v>36</v>
      </c>
      <c r="BC45" s="221" t="s">
        <v>150</v>
      </c>
      <c r="BD45" s="179" t="s">
        <v>150</v>
      </c>
      <c r="BE45" s="219">
        <f>(IF((SUM(BE12:BE42))=0," ",(MAX(BE12:BE42))))</f>
        <v>12.42</v>
      </c>
      <c r="BG45" s="221" t="s">
        <v>150</v>
      </c>
      <c r="BH45" s="181" t="s">
        <v>150</v>
      </c>
      <c r="BI45" s="182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9" t="s">
        <v>150</v>
      </c>
      <c r="D46" s="228">
        <f>(IF((SUM(D12:D42))=0," ",(MIN(D12:D42))))</f>
        <v>1.623</v>
      </c>
      <c r="E46" s="227">
        <f>(IF((SUM(E12:E42))=0," ",(MIN(E12:E42))))</f>
        <v>3.3</v>
      </c>
      <c r="F46" s="228">
        <f>(IF((SUM(F12:F42))=0," ",(MIN(F12:F42))))</f>
        <v>0.4</v>
      </c>
      <c r="G46" s="227">
        <f>(MIN(G12:G42))</f>
        <v>0</v>
      </c>
      <c r="H46" s="189">
        <f>(IF((SUM(H12:H42))=0," ",(MIN(H12:H42))))</f>
        <v>0</v>
      </c>
      <c r="I46" s="196">
        <f>(IF((SUM(I12:I42))=0," ",(MIN(I12:I42))))</f>
        <v>0</v>
      </c>
      <c r="K46" s="200" t="s">
        <v>150</v>
      </c>
      <c r="L46" s="192">
        <f>(IF((SUM(L12:L42))=0," ",(MIN(L12:L42))))</f>
        <v>53</v>
      </c>
      <c r="M46" s="202">
        <f>(IF((SUM(M12:M42))=0," ",(MIN(M12:M42))))</f>
        <v>0</v>
      </c>
      <c r="O46" s="229" t="s">
        <v>150</v>
      </c>
      <c r="Q46" s="208" t="s">
        <v>150</v>
      </c>
      <c r="R46" s="191">
        <f>(IF(((SUM(R12:R42))=0),"-",(MIN(R12:R42))))</f>
        <v>0.13</v>
      </c>
      <c r="S46" s="196">
        <f>(IF(((SUM(S12:S42))=0),"-",(MIN(S12:S42))))</f>
        <v>3</v>
      </c>
      <c r="U46" s="230">
        <f>(IF((SUM(U12:U42))=0," ",(MIN(U12:U42))))</f>
        <v>7.1</v>
      </c>
      <c r="V46" s="192">
        <f>(IF((SUM(V12:V42))=0," ",(MIN(V12:V42))))</f>
        <v>6.6</v>
      </c>
      <c r="W46" s="212">
        <f>(IF((SUM(W12:W42))=0," ",(MIN(W12:W42))))</f>
        <v>6.5</v>
      </c>
      <c r="Y46" s="199">
        <f aca="true" t="shared" si="11" ref="Y46:AD46">(IF((SUM(Y12:Y42))=0," ",(MIN(Y12:Y42))))</f>
        <v>17</v>
      </c>
      <c r="Z46" s="189">
        <f t="shared" si="11"/>
        <v>18</v>
      </c>
      <c r="AA46" s="196">
        <f t="shared" si="11"/>
        <v>18</v>
      </c>
      <c r="AB46" s="265" t="str">
        <f t="shared" si="11"/>
        <v> </v>
      </c>
      <c r="AC46" s="230">
        <f t="shared" si="11"/>
        <v>3.5</v>
      </c>
      <c r="AD46" s="191">
        <f t="shared" si="11"/>
        <v>0</v>
      </c>
      <c r="AE46" s="202">
        <f>(IF((COUNT(AE12:AE42))=0," ",(MIN(AE12:AE42))))</f>
        <v>0</v>
      </c>
      <c r="AG46" s="26" t="str">
        <f>($A46)</f>
        <v>Minimum</v>
      </c>
      <c r="AI46" s="189">
        <f aca="true" t="shared" si="12" ref="AI46:AO46">(IF((SUM(AI12:AI42))=0," ",(MIN(AI12:AI42))))</f>
        <v>243</v>
      </c>
      <c r="AJ46" s="189">
        <f t="shared" si="12"/>
        <v>3820.1787</v>
      </c>
      <c r="AK46" s="199">
        <f t="shared" si="12"/>
        <v>198</v>
      </c>
      <c r="AL46" s="196">
        <f t="shared" si="12"/>
        <v>3222.08394</v>
      </c>
      <c r="AM46" s="199">
        <f t="shared" si="12"/>
        <v>9</v>
      </c>
      <c r="AN46" s="196">
        <f t="shared" si="12"/>
        <v>141.56316</v>
      </c>
      <c r="AO46" s="231">
        <f t="shared" si="12"/>
        <v>6</v>
      </c>
      <c r="AQ46" s="199">
        <f aca="true" t="shared" si="13" ref="AQ46:AV46">(IF((SUM(AQ12:AQ42))=0," ",(MIN(AQ12:AQ42))))</f>
        <v>170</v>
      </c>
      <c r="AR46" s="196">
        <f t="shared" si="13"/>
        <v>3446.6717999999996</v>
      </c>
      <c r="AS46" s="199">
        <f t="shared" si="13"/>
        <v>82</v>
      </c>
      <c r="AT46" s="196">
        <f t="shared" si="13"/>
        <v>1496.51292</v>
      </c>
      <c r="AU46" s="199">
        <f t="shared" si="13"/>
        <v>14</v>
      </c>
      <c r="AV46" s="196">
        <f t="shared" si="13"/>
        <v>220.20936</v>
      </c>
      <c r="AX46" s="208" t="s">
        <v>150</v>
      </c>
      <c r="AY46" s="192">
        <f>(IF((SUM(AY12:AY42))=0," ",(MIN(AY12:AY42))))</f>
        <v>2</v>
      </c>
      <c r="AZ46" s="207" t="s">
        <v>150</v>
      </c>
      <c r="BA46" s="208" t="s">
        <v>150</v>
      </c>
      <c r="BB46" s="212">
        <f>(IF((SUM(BB12:BB42))=0," ",(MIN(BB12:BB42))))</f>
        <v>28</v>
      </c>
      <c r="BC46" s="208" t="s">
        <v>150</v>
      </c>
      <c r="BD46" s="209" t="s">
        <v>150</v>
      </c>
      <c r="BE46" s="202">
        <f>(IF((SUM(BE12:BE42))=0," ",(MIN(BE12:BE42))))</f>
        <v>12.2</v>
      </c>
      <c r="BG46" s="208" t="s">
        <v>150</v>
      </c>
      <c r="BH46" s="214" t="s">
        <v>150</v>
      </c>
      <c r="BI46" s="215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9" t="s">
        <v>150</v>
      </c>
      <c r="D47" s="217">
        <f>(IF((SUM(D12:D42))=0," ",(AVERAGE(D12:D42))))</f>
        <v>2.0235</v>
      </c>
      <c r="E47" s="216">
        <f>(IF((SUM(E12:E42))=0," ",(AVERAGE(E12:E42))))</f>
        <v>4.179999999999999</v>
      </c>
      <c r="F47" s="217">
        <f>(IF((SUM(F12:F42))=0," ",(AVERAGE(F12:F42))))</f>
        <v>0.4266666666666668</v>
      </c>
      <c r="G47" s="216" t="str">
        <f>(IF((SUM(G12:G42))=0,"0.000",(AVERAGE(G12:G42))))</f>
        <v>0.000</v>
      </c>
      <c r="H47" s="162">
        <f>(IF((SUM(H12:H42))=0," ",(AVERAGE(H12:H42))))</f>
        <v>2111.6666666666665</v>
      </c>
      <c r="I47" s="163">
        <f>(IF((SUM(I12:I42))=0," ",(AVERAGE(I12:I42))))</f>
        <v>6593.333333333333</v>
      </c>
      <c r="K47" s="180" t="s">
        <v>150</v>
      </c>
      <c r="L47" s="183">
        <f>(IF((SUM(L12:L42))=0," ",(AVERAGE(L12:L42))))</f>
        <v>61.833333333333336</v>
      </c>
      <c r="M47" s="219">
        <f>(IF((SUM(M12:M42))=0," ",(AVERAGE(M12:M42))))</f>
        <v>0.2256666666666666</v>
      </c>
      <c r="O47" s="220" t="s">
        <v>150</v>
      </c>
      <c r="Q47" s="218">
        <f>(IF((SUM(Q12:Q42))=0," ",(AVERAGE(Q12:Q42))))</f>
        <v>25.633333333333333</v>
      </c>
      <c r="R47" s="233" t="s">
        <v>150</v>
      </c>
      <c r="S47" s="234" t="s">
        <v>150</v>
      </c>
      <c r="U47" s="222">
        <f>(IF((SUM(U12:U42))=0," ",(AVERAGE(U12:U42))))</f>
        <v>7.3466666666666685</v>
      </c>
      <c r="V47" s="183">
        <f>(IF((SUM(V12:V42))=0," ",(AVERAGE(V12:V42))))</f>
        <v>7.056666666666663</v>
      </c>
      <c r="W47" s="223">
        <f>(IF((SUM(W12:W42))=0," ",(AVERAGE(W12:W42))))</f>
        <v>6.743333333333334</v>
      </c>
      <c r="Y47" s="218">
        <f>(IF((SUM(Y12:Y42))=0," ",(AVERAGE(Y12:Y42))))</f>
        <v>18.5</v>
      </c>
      <c r="Z47" s="162">
        <f>(IF((SUM(Z12:Z42))=0," ",(AVERAGE(Z12:Z42))))</f>
        <v>18.466666666666665</v>
      </c>
      <c r="AA47" s="163">
        <f>(IF((SUM(AA12:AA42))=0," ",(AVERAGE(AA12:AA42))))</f>
        <v>19.233333333333334</v>
      </c>
      <c r="AC47" s="222">
        <f>(IF((SUM(AC12:AC42))=0," ",(AVERAGE(AC12:AC42))))</f>
        <v>9.583333333333334</v>
      </c>
      <c r="AD47" s="184">
        <f>(IF((SUM(AD12:AD42))=0," ",(AVERAGE(AD12:AD42))))</f>
        <v>0.04600000000000001</v>
      </c>
      <c r="AE47" s="219">
        <f>(IF((COUNT(AE12:AE42))=0," ",(AVERAGE(AE12:AE42))))</f>
        <v>0.0026666666666666666</v>
      </c>
      <c r="AG47" s="26" t="str">
        <f>($A47)</f>
        <v>Average</v>
      </c>
      <c r="AI47" s="162">
        <f aca="true" t="shared" si="14" ref="AI47:AO47">(IF((SUM(AI12:AI42))=0," ",(AVERAGE(AI12:AI42))))</f>
        <v>332.9166666666667</v>
      </c>
      <c r="AJ47" s="162">
        <f t="shared" si="14"/>
        <v>5669.607755</v>
      </c>
      <c r="AK47" s="218">
        <f t="shared" si="14"/>
        <v>211</v>
      </c>
      <c r="AL47" s="163">
        <f t="shared" si="14"/>
        <v>3627.12855</v>
      </c>
      <c r="AM47" s="218">
        <f t="shared" si="14"/>
        <v>12.333333333333334</v>
      </c>
      <c r="AN47" s="163">
        <f t="shared" si="14"/>
        <v>212.45594000000003</v>
      </c>
      <c r="AO47" s="224">
        <f t="shared" si="14"/>
        <v>8.583333333333334</v>
      </c>
      <c r="AQ47" s="218">
        <f aca="true" t="shared" si="15" ref="AQ47:AV47">(IF((SUM(AQ12:AQ42))=0," ",(AVERAGE(AQ12:AQ42))))</f>
        <v>357.8333333333333</v>
      </c>
      <c r="AR47" s="163">
        <f t="shared" si="15"/>
        <v>6065.43458</v>
      </c>
      <c r="AS47" s="218">
        <f t="shared" si="15"/>
        <v>105.25</v>
      </c>
      <c r="AT47" s="163">
        <f t="shared" si="15"/>
        <v>1796.9364</v>
      </c>
      <c r="AU47" s="218">
        <f t="shared" si="15"/>
        <v>20.333333333333332</v>
      </c>
      <c r="AV47" s="163">
        <f t="shared" si="15"/>
        <v>349.53287500000005</v>
      </c>
      <c r="AX47" s="218">
        <f aca="true" t="shared" si="16" ref="AX47:BE47">(IF((SUM(AX12:AX42))=0," ",(AVERAGE(AX12:AX42))))</f>
        <v>60784.1</v>
      </c>
      <c r="AY47" s="183">
        <f t="shared" si="16"/>
        <v>2.9</v>
      </c>
      <c r="AZ47" s="223">
        <f t="shared" si="16"/>
        <v>3.725</v>
      </c>
      <c r="BA47" s="218">
        <f t="shared" si="16"/>
        <v>39.37</v>
      </c>
      <c r="BB47" s="223">
        <f t="shared" si="16"/>
        <v>32.3</v>
      </c>
      <c r="BC47" s="218">
        <f t="shared" si="16"/>
        <v>24</v>
      </c>
      <c r="BD47" s="162">
        <f t="shared" si="16"/>
        <v>2597.285714285714</v>
      </c>
      <c r="BE47" s="219">
        <f t="shared" si="16"/>
        <v>12.284285714285714</v>
      </c>
      <c r="BG47" s="218">
        <f>(IF((SUM(BG12:BG42))=0," ",(AVERAGE(BG12:BG42))))</f>
        <v>24</v>
      </c>
      <c r="BH47" s="181" t="s">
        <v>150</v>
      </c>
      <c r="BI47" s="182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5"/>
      <c r="E48" s="235"/>
      <c r="F48" s="235"/>
      <c r="G48" s="236"/>
      <c r="H48" s="186"/>
      <c r="I48" s="186"/>
      <c r="K48" s="26"/>
      <c r="L48" s="186"/>
      <c r="M48" s="236"/>
      <c r="O48" s="83"/>
      <c r="Q48" s="80"/>
      <c r="R48" s="80"/>
      <c r="S48" s="80"/>
      <c r="U48" s="83"/>
      <c r="V48" s="83"/>
      <c r="W48" s="83"/>
      <c r="Y48" s="80"/>
      <c r="Z48" s="80"/>
      <c r="AA48" s="80"/>
      <c r="AC48" s="83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7" t="s">
        <v>203</v>
      </c>
      <c r="BR48" s="272" t="s">
        <v>150</v>
      </c>
      <c r="BS48" s="277" t="s">
        <v>203</v>
      </c>
      <c r="BT48" s="26"/>
      <c r="BU48" s="272" t="s">
        <v>150</v>
      </c>
      <c r="BV48" s="58">
        <f>(S49)</f>
        <v>29.437905841594063</v>
      </c>
      <c r="BW48" s="58">
        <f>(S45)</f>
        <v>725</v>
      </c>
      <c r="BX48" s="272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22"/>
      <c r="C49" s="22"/>
      <c r="D49" s="82"/>
      <c r="E49" s="82"/>
      <c r="F49" s="82"/>
      <c r="G49" s="81"/>
      <c r="H49" s="80"/>
      <c r="I49" s="80"/>
      <c r="K49" s="22"/>
      <c r="L49" s="80"/>
      <c r="M49" s="81"/>
      <c r="O49" s="83"/>
      <c r="Q49" s="322" t="s">
        <v>90</v>
      </c>
      <c r="R49" s="323"/>
      <c r="S49" s="259">
        <f>(IF(((SUM(S12:S42))=0),"-",(GEOMEAN(S12:S42))))</f>
        <v>29.437905841594063</v>
      </c>
      <c r="U49" s="83"/>
      <c r="V49" s="83"/>
      <c r="W49" s="83"/>
      <c r="Y49" s="80"/>
      <c r="Z49" s="80"/>
      <c r="AA49" s="80"/>
      <c r="AC49" s="83"/>
      <c r="AD49" s="81"/>
      <c r="AE49" s="81"/>
      <c r="AG49" s="22"/>
      <c r="AI49" s="17"/>
      <c r="AJ49" s="22"/>
      <c r="AK49" s="17"/>
      <c r="AL49" s="324" t="s">
        <v>113</v>
      </c>
      <c r="AM49" s="325"/>
      <c r="AN49" s="185">
        <f>(IF(((SUM(AJ12:AJ42))=0)," ",(((AJ47-AN47)/AJ47)*100)))</f>
        <v>96.2527224248867</v>
      </c>
      <c r="AO49" s="17"/>
      <c r="AQ49" s="17"/>
      <c r="AR49" s="17"/>
      <c r="AS49" s="324" t="s">
        <v>113</v>
      </c>
      <c r="AT49" s="325"/>
      <c r="AU49" s="185">
        <f>(IF(((SUM(AQ12:AQ42))=0)," ",(((AQ47-AU47)/AQ47)*100)))</f>
        <v>94.3176525384257</v>
      </c>
      <c r="AV49" s="11"/>
      <c r="AX49" s="17"/>
      <c r="AY49" s="17"/>
      <c r="AZ49" s="17"/>
      <c r="BA49" s="17"/>
      <c r="BB49" s="17"/>
      <c r="BC49" s="17"/>
      <c r="BD49" s="17"/>
      <c r="BE49" s="17"/>
      <c r="BG49" s="17"/>
      <c r="BH49" s="17"/>
      <c r="BI49" s="17"/>
      <c r="BK49" s="17"/>
      <c r="BL49" s="19"/>
      <c r="BM49" s="26" t="s">
        <v>86</v>
      </c>
      <c r="BN49" s="20"/>
      <c r="BO49" s="154" t="s">
        <v>131</v>
      </c>
      <c r="BP49" s="20"/>
      <c r="BQ49" s="278" t="s">
        <v>203</v>
      </c>
      <c r="BR49" s="270" t="s">
        <v>150</v>
      </c>
      <c r="BS49" s="278" t="s">
        <v>203</v>
      </c>
      <c r="BT49" s="26"/>
      <c r="BU49" s="270" t="s">
        <v>150</v>
      </c>
      <c r="BV49" s="269">
        <v>142</v>
      </c>
      <c r="BW49" s="269">
        <v>949</v>
      </c>
      <c r="BX49" s="279" t="s">
        <v>204</v>
      </c>
      <c r="BY49" s="26"/>
      <c r="BZ49" s="270" t="s">
        <v>150</v>
      </c>
      <c r="CA49" s="276" t="s">
        <v>205</v>
      </c>
      <c r="CB49" s="155" t="s">
        <v>23</v>
      </c>
      <c r="CC49" s="27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22"/>
      <c r="C50" s="22"/>
      <c r="D50" s="82"/>
      <c r="E50" s="82"/>
      <c r="F50" s="82"/>
      <c r="G50" s="81"/>
      <c r="H50" s="80"/>
      <c r="I50" s="80"/>
      <c r="K50" s="22"/>
      <c r="L50" s="80"/>
      <c r="M50" s="81"/>
      <c r="O50" s="83"/>
      <c r="Q50" s="22"/>
      <c r="R50" s="22"/>
      <c r="S50" s="22"/>
      <c r="U50" s="83"/>
      <c r="V50" s="83"/>
      <c r="W50" s="83"/>
      <c r="Y50" s="80"/>
      <c r="Z50" s="80"/>
      <c r="AA50" s="80"/>
      <c r="AC50" s="83"/>
      <c r="AD50" s="81"/>
      <c r="AE50" s="81"/>
      <c r="AG50" s="17"/>
      <c r="AI50" s="17"/>
      <c r="AJ50" s="17"/>
      <c r="AK50" s="17"/>
      <c r="AL50" s="17"/>
      <c r="AM50" s="17"/>
      <c r="AN50" s="17"/>
      <c r="AO50" s="17"/>
      <c r="AQ50" s="17"/>
      <c r="AR50" s="17"/>
      <c r="AS50" s="17"/>
      <c r="AT50" s="17"/>
      <c r="AU50" s="17"/>
      <c r="AV50" s="17"/>
      <c r="AX50" s="17"/>
      <c r="AY50" s="17"/>
      <c r="AZ50" s="17"/>
      <c r="BA50" s="17"/>
      <c r="BB50" s="17"/>
      <c r="BC50" s="17"/>
      <c r="BD50" s="17"/>
      <c r="BE50" s="17"/>
      <c r="BG50" s="17"/>
      <c r="BH50" s="17"/>
      <c r="BI50" s="17"/>
      <c r="BK50" s="17"/>
      <c r="BL50" s="6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78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O51" s="17"/>
      <c r="Q51" s="17"/>
      <c r="R51" s="17"/>
      <c r="S51" s="17"/>
      <c r="U51" s="23"/>
      <c r="V51" s="23"/>
      <c r="W51" s="23"/>
      <c r="Y51" s="23"/>
      <c r="Z51" s="17"/>
      <c r="AA51" s="17"/>
      <c r="AC51" s="17"/>
      <c r="AD51" s="312"/>
      <c r="AE51" s="312"/>
      <c r="AG51" s="17"/>
      <c r="AI51" s="17"/>
      <c r="AJ51" s="17"/>
      <c r="AK51" s="17"/>
      <c r="AL51" s="17"/>
      <c r="AM51" s="17"/>
      <c r="AN51" s="17"/>
      <c r="AO51" s="17"/>
      <c r="AQ51" s="17"/>
      <c r="AR51" s="17"/>
      <c r="AS51" s="17"/>
      <c r="AT51" s="17"/>
      <c r="AU51" s="17"/>
      <c r="AV51" s="17"/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O52" s="11"/>
      <c r="Q52" s="11"/>
      <c r="R52" s="11"/>
      <c r="S52" s="11"/>
      <c r="U52" s="11"/>
      <c r="V52" s="11"/>
      <c r="W52" s="11"/>
      <c r="Y52" s="11"/>
      <c r="Z52" s="11"/>
      <c r="AA52" s="11"/>
      <c r="AC52" s="11"/>
      <c r="AD52" s="11"/>
      <c r="AE52" s="11"/>
      <c r="AG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X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K52" s="11"/>
      <c r="BL52" s="49"/>
      <c r="BM52" s="50"/>
      <c r="BN52" s="50"/>
      <c r="BO52" s="50"/>
      <c r="BP52" s="50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76"/>
      <c r="CP52" s="11"/>
    </row>
    <row r="53" spans="1:94" ht="18" customHeight="1">
      <c r="A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O53" s="11"/>
      <c r="Q53" s="11"/>
      <c r="R53" s="11"/>
      <c r="S53" s="11"/>
      <c r="U53" s="11"/>
      <c r="V53" s="11"/>
      <c r="W53" s="11"/>
      <c r="Y53" s="11"/>
      <c r="Z53" s="11"/>
      <c r="AA53" s="11"/>
      <c r="AC53" s="11"/>
      <c r="AD53" s="11"/>
      <c r="AE53" s="11"/>
      <c r="AG53" s="11"/>
      <c r="AI53" s="11"/>
      <c r="AJ53" s="11"/>
      <c r="AK53" s="11"/>
      <c r="AL53" s="11"/>
      <c r="AM53" s="11"/>
      <c r="AN53" s="11"/>
      <c r="AO53" s="11"/>
      <c r="AQ53" s="11"/>
      <c r="AR53" s="11"/>
      <c r="AS53" s="11"/>
      <c r="AT53" s="11"/>
      <c r="AU53" s="11"/>
      <c r="AV53" s="11"/>
      <c r="AX53" s="11"/>
      <c r="AY53" s="11"/>
      <c r="AZ53" s="11"/>
      <c r="BA53" s="11"/>
      <c r="BB53" s="11"/>
      <c r="BC53" s="11"/>
      <c r="BD53" s="11"/>
      <c r="BE53" s="11"/>
      <c r="BG53" s="11"/>
      <c r="BH53" s="11"/>
      <c r="BI53" s="11"/>
      <c r="BK53" s="11"/>
      <c r="BL53" s="19"/>
      <c r="BM53" s="20" t="s">
        <v>206</v>
      </c>
      <c r="BN53" s="20"/>
      <c r="BO53" s="57" t="s">
        <v>130</v>
      </c>
      <c r="BP53" s="20"/>
      <c r="BQ53" s="277" t="s">
        <v>203</v>
      </c>
      <c r="BR53" s="272" t="s">
        <v>150</v>
      </c>
      <c r="BS53" s="277" t="s">
        <v>203</v>
      </c>
      <c r="BT53" s="26"/>
      <c r="BU53" s="272" t="s">
        <v>150</v>
      </c>
      <c r="BV53" s="272" t="s">
        <v>150</v>
      </c>
      <c r="BW53" s="71">
        <f>(R45)</f>
        <v>0.31</v>
      </c>
      <c r="BX53" s="272" t="s">
        <v>150</v>
      </c>
      <c r="BY53" s="26"/>
      <c r="BZ53" s="26">
        <v>0</v>
      </c>
      <c r="CA53" s="75" t="s">
        <v>207</v>
      </c>
      <c r="CB53" s="26" t="s">
        <v>23</v>
      </c>
      <c r="CC53" s="27"/>
      <c r="CP53" s="11"/>
    </row>
    <row r="54" spans="1:94" ht="18" customHeight="1">
      <c r="A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O54" s="11"/>
      <c r="Q54" s="11"/>
      <c r="R54" s="11"/>
      <c r="S54" s="11"/>
      <c r="U54" s="11"/>
      <c r="V54" s="11"/>
      <c r="W54" s="11"/>
      <c r="Y54" s="11"/>
      <c r="Z54" s="11"/>
      <c r="AA54" s="11"/>
      <c r="AC54" s="11"/>
      <c r="AD54" s="11"/>
      <c r="AE54" s="11"/>
      <c r="AG54" s="11"/>
      <c r="AI54" s="11"/>
      <c r="AJ54" s="11"/>
      <c r="AK54" s="11"/>
      <c r="AL54" s="11"/>
      <c r="AM54" s="11"/>
      <c r="AN54" s="11"/>
      <c r="AO54" s="11"/>
      <c r="AQ54" s="11"/>
      <c r="AR54" s="11"/>
      <c r="AS54" s="11"/>
      <c r="AT54" s="11"/>
      <c r="AU54" s="11"/>
      <c r="AV54" s="11"/>
      <c r="AX54" s="11"/>
      <c r="AY54" s="11"/>
      <c r="AZ54" s="11"/>
      <c r="BA54" s="11"/>
      <c r="BB54" s="11"/>
      <c r="BC54" s="11"/>
      <c r="BD54" s="11"/>
      <c r="BE54" s="11"/>
      <c r="BG54" s="11"/>
      <c r="BH54" s="11"/>
      <c r="BI54" s="11"/>
      <c r="BK54" s="11"/>
      <c r="BL54" s="19"/>
      <c r="BM54" s="26" t="s">
        <v>86</v>
      </c>
      <c r="BN54" s="20"/>
      <c r="BO54" s="154" t="s">
        <v>131</v>
      </c>
      <c r="BP54" s="20"/>
      <c r="BQ54" s="278" t="s">
        <v>203</v>
      </c>
      <c r="BR54" s="270" t="s">
        <v>150</v>
      </c>
      <c r="BS54" s="278" t="s">
        <v>203</v>
      </c>
      <c r="BT54" s="26"/>
      <c r="BU54" s="270" t="s">
        <v>150</v>
      </c>
      <c r="BV54" s="270" t="s">
        <v>150</v>
      </c>
      <c r="BW54" s="279">
        <v>0.86</v>
      </c>
      <c r="BX54" s="279" t="s">
        <v>44</v>
      </c>
      <c r="BY54" s="26"/>
      <c r="BZ54" s="270" t="s">
        <v>150</v>
      </c>
      <c r="CA54" s="271" t="s">
        <v>207</v>
      </c>
      <c r="CB54" s="155" t="s">
        <v>23</v>
      </c>
      <c r="CC54" s="27"/>
      <c r="CP54" s="11"/>
    </row>
    <row r="55" spans="1:94" ht="18" customHeight="1">
      <c r="A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O55" s="17"/>
      <c r="Q55" s="17"/>
      <c r="R55" s="17"/>
      <c r="S55" s="17"/>
      <c r="U55" s="17"/>
      <c r="V55" s="17"/>
      <c r="W55" s="17"/>
      <c r="Y55" s="17"/>
      <c r="Z55" s="17"/>
      <c r="AA55" s="17"/>
      <c r="AC55" s="17"/>
      <c r="AD55" s="17"/>
      <c r="AE55" s="17"/>
      <c r="AG55" s="11"/>
      <c r="AI55" s="11"/>
      <c r="AJ55" s="11"/>
      <c r="AK55" s="11"/>
      <c r="AL55" s="11"/>
      <c r="AM55" s="11"/>
      <c r="AN55" s="11"/>
      <c r="AO55" s="11"/>
      <c r="AQ55" s="11"/>
      <c r="AR55" s="11"/>
      <c r="AS55" s="11"/>
      <c r="AT55" s="11"/>
      <c r="AU55" s="11"/>
      <c r="AV55" s="11"/>
      <c r="AX55" s="11"/>
      <c r="AY55" s="11"/>
      <c r="AZ55" s="11"/>
      <c r="BA55" s="11"/>
      <c r="BB55" s="11"/>
      <c r="BC55" s="11"/>
      <c r="BD55" s="11"/>
      <c r="BE55" s="11"/>
      <c r="BG55" s="11"/>
      <c r="BH55" s="11"/>
      <c r="BI55" s="11"/>
      <c r="BK55" s="11"/>
      <c r="BL55" s="61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78"/>
      <c r="CP55" s="11"/>
    </row>
    <row r="56" spans="1:94" ht="18" customHeight="1">
      <c r="A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1"/>
      <c r="AI56" s="11"/>
      <c r="AJ56" s="11"/>
      <c r="AK56" s="11"/>
      <c r="AL56" s="11"/>
      <c r="AM56" s="11"/>
      <c r="AN56" s="11"/>
      <c r="AO56" s="11"/>
      <c r="AQ56" s="11"/>
      <c r="AR56" s="11"/>
      <c r="AS56" s="11"/>
      <c r="AT56" s="11"/>
      <c r="AU56" s="11"/>
      <c r="AV56" s="11"/>
      <c r="AX56" s="11"/>
      <c r="AY56" s="11"/>
      <c r="AZ56" s="11"/>
      <c r="BA56" s="11"/>
      <c r="BB56" s="11"/>
      <c r="BC56" s="11"/>
      <c r="BD56" s="11"/>
      <c r="BE56" s="11"/>
      <c r="BG56" s="11"/>
      <c r="BH56" s="11"/>
      <c r="BI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P56" s="11"/>
    </row>
    <row r="57" spans="1:9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/>
      <c r="O57" s="11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/>
      <c r="AC57" s="17"/>
      <c r="AD57" s="17"/>
      <c r="AE57" s="17"/>
      <c r="AF57" s="17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/>
      <c r="CE57"/>
      <c r="CF57"/>
      <c r="CG57"/>
      <c r="CH57"/>
      <c r="CI57"/>
      <c r="CJ57"/>
      <c r="CK57"/>
      <c r="CL57"/>
      <c r="CM57"/>
      <c r="CN57"/>
      <c r="CO57"/>
      <c r="CP57" s="11"/>
    </row>
    <row r="58" spans="1:9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/>
      <c r="O58" s="11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/>
      <c r="CE58"/>
      <c r="CF58"/>
      <c r="CG58"/>
      <c r="CH58"/>
      <c r="CI58"/>
      <c r="CJ58"/>
      <c r="CK58"/>
      <c r="CL58"/>
      <c r="CM58"/>
      <c r="CN58"/>
      <c r="CO58"/>
      <c r="CP58" s="11"/>
    </row>
    <row r="59" spans="1:9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 password="CCAE" sheet="1" objects="1" scenarios="1"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scale="53" r:id="rId1"/>
  <colBreaks count="2" manualBreakCount="2">
    <brk id="32" max="55" man="1"/>
    <brk id="6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Sewere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Nicholson</dc:creator>
  <cp:keywords/>
  <dc:description/>
  <cp:lastModifiedBy> </cp:lastModifiedBy>
  <cp:lastPrinted>2007-12-31T19:45:08Z</cp:lastPrinted>
  <dcterms:created xsi:type="dcterms:W3CDTF">1998-12-15T16:16:11Z</dcterms:created>
  <dcterms:modified xsi:type="dcterms:W3CDTF">2007-12-31T19:45:08Z</dcterms:modified>
  <cp:category/>
  <cp:version/>
  <cp:contentType/>
  <cp:contentStatus/>
</cp:coreProperties>
</file>