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75" windowWidth="8760" windowHeight="5550" tabRatio="601" firstSheet="5" activeTab="12"/>
  </bookViews>
  <sheets>
    <sheet name="January 04" sheetId="1" r:id="rId1"/>
    <sheet name="February 04" sheetId="2" r:id="rId2"/>
    <sheet name="March 04" sheetId="3" r:id="rId3"/>
    <sheet name="April 04" sheetId="4" r:id="rId4"/>
    <sheet name="May 04" sheetId="5" r:id="rId5"/>
    <sheet name="June 04" sheetId="6" r:id="rId6"/>
    <sheet name="July 04" sheetId="7" r:id="rId7"/>
    <sheet name="August 04" sheetId="8" r:id="rId8"/>
    <sheet name="September 04" sheetId="9" r:id="rId9"/>
    <sheet name="October 04" sheetId="10" r:id="rId10"/>
    <sheet name="November 04" sheetId="11" r:id="rId11"/>
    <sheet name="December 04" sheetId="12" r:id="rId12"/>
    <sheet name="Annual 04" sheetId="13" r:id="rId13"/>
  </sheets>
  <definedNames>
    <definedName name="_xlnm.Print_Area" localSheetId="12">'Annual 04'!$A$1:$Y$157</definedName>
    <definedName name="_xlnm.Print_Area" localSheetId="3">'April 04'!$A$1:$CO$51</definedName>
    <definedName name="_xlnm.Print_Area" localSheetId="7">'August 04'!$A$1:$CO$56</definedName>
    <definedName name="_xlnm.Print_Area" localSheetId="11">'December 04'!$A$1:$CO$51</definedName>
    <definedName name="_xlnm.Print_Area" localSheetId="1">'February 04'!$A$1:$CO$51</definedName>
    <definedName name="_xlnm.Print_Area" localSheetId="0">'January 04'!$A$1:$CO$51</definedName>
    <definedName name="_xlnm.Print_Area" localSheetId="6">'July 04'!$A$1:$CO$56</definedName>
    <definedName name="_xlnm.Print_Area" localSheetId="5">'June 04'!$A$1:$CO$56</definedName>
    <definedName name="_xlnm.Print_Area" localSheetId="2">'March 04'!$A$1:$CO$51</definedName>
    <definedName name="_xlnm.Print_Area" localSheetId="4">'May 04'!$A$1:$CO$56</definedName>
    <definedName name="_xlnm.Print_Area" localSheetId="10">'November 04'!$A$1:$CO$51</definedName>
    <definedName name="_xlnm.Print_Area" localSheetId="9">'October 04'!$A$1:$CO$51</definedName>
    <definedName name="_xlnm.Print_Area" localSheetId="8">'September 04'!$A$1:$CO$56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<sst xmlns="http://schemas.openxmlformats.org/spreadsheetml/2006/main" count="6076" uniqueCount="237">
  <si>
    <t>BRUNSWICK SEWER DISTRICT</t>
  </si>
  <si>
    <t>FLOW</t>
  </si>
  <si>
    <t xml:space="preserve"> </t>
  </si>
  <si>
    <t>WEATHER</t>
  </si>
  <si>
    <t>F</t>
  </si>
  <si>
    <t>DISINFECTION</t>
  </si>
  <si>
    <t>P.H.</t>
  </si>
  <si>
    <t>TEMPERATURE</t>
  </si>
  <si>
    <t xml:space="preserve">SETTLEABLE </t>
  </si>
  <si>
    <t>SOLIDS</t>
  </si>
  <si>
    <t>O</t>
  </si>
  <si>
    <t>R</t>
  </si>
  <si>
    <t>S</t>
  </si>
  <si>
    <t>E</t>
  </si>
  <si>
    <t>A</t>
  </si>
  <si>
    <t>N</t>
  </si>
  <si>
    <t>BIOCHEMICAL OXYGEN DEMAND</t>
  </si>
  <si>
    <t>CBOD</t>
  </si>
  <si>
    <t>TOTAL SUSPENDED SOLIDS</t>
  </si>
  <si>
    <t>LOADING</t>
  </si>
  <si>
    <t>CONCENTRATION</t>
  </si>
  <si>
    <t>TSS</t>
  </si>
  <si>
    <t>SETTLEABLE</t>
  </si>
  <si>
    <t>GR</t>
  </si>
  <si>
    <t>99/99</t>
  </si>
  <si>
    <t>RC</t>
  </si>
  <si>
    <t>CA</t>
  </si>
  <si>
    <t>BOD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</si>
  <si>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</si>
  <si>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</si>
  <si>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</si>
  <si>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</si>
  <si>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</si>
  <si>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</si>
  <si>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</si>
  <si>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</si>
  <si>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</si>
  <si>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</si>
  <si>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</si>
  <si>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</si>
  <si>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(mg)</t>
  </si>
  <si>
    <t>(mgd)</t>
  </si>
  <si>
    <t>GRIT</t>
  </si>
  <si>
    <t>(s.u.)</t>
  </si>
  <si>
    <t>(mg/L)</t>
  </si>
  <si>
    <t>(lbs)</t>
  </si>
  <si>
    <t>SLUDGE DEWATERING</t>
  </si>
  <si>
    <t>03/07</t>
  </si>
  <si>
    <t>01/01</t>
  </si>
  <si>
    <t>01/30</t>
  </si>
  <si>
    <t>Francis E. McVey</t>
  </si>
  <si>
    <t>General Manager</t>
  </si>
  <si>
    <t>Total</t>
  </si>
  <si>
    <t>Maximum</t>
  </si>
  <si>
    <t>Minimum</t>
  </si>
  <si>
    <t>Totalizer</t>
  </si>
  <si>
    <t>Flow</t>
  </si>
  <si>
    <t>Holding</t>
  </si>
  <si>
    <t>Septic</t>
  </si>
  <si>
    <t>Date</t>
  </si>
  <si>
    <t>Reading</t>
  </si>
  <si>
    <t>Treated</t>
  </si>
  <si>
    <t>(instant.)</t>
  </si>
  <si>
    <t>By-passed</t>
  </si>
  <si>
    <t>Received</t>
  </si>
  <si>
    <t>Added</t>
  </si>
  <si>
    <t>Conditions</t>
  </si>
  <si>
    <t>Average</t>
  </si>
  <si>
    <t>Precip.</t>
  </si>
  <si>
    <t>Grit</t>
  </si>
  <si>
    <t>Temp.</t>
  </si>
  <si>
    <t>Removed</t>
  </si>
  <si>
    <t>(MG)</t>
  </si>
  <si>
    <t>(gallons)</t>
  </si>
  <si>
    <t>(deg. F.)</t>
  </si>
  <si>
    <t>(inches)</t>
  </si>
  <si>
    <t>(cu. yd.)</t>
  </si>
  <si>
    <t>chlorite</t>
  </si>
  <si>
    <t>Used</t>
  </si>
  <si>
    <t>Hypo -</t>
  </si>
  <si>
    <t>Chlorine</t>
  </si>
  <si>
    <t>Residual</t>
  </si>
  <si>
    <t>E. Coli</t>
  </si>
  <si>
    <t>(#/100)</t>
  </si>
  <si>
    <t>Influent</t>
  </si>
  <si>
    <t>Primary</t>
  </si>
  <si>
    <t>Effluent</t>
  </si>
  <si>
    <t>(deg. C.)</t>
  </si>
  <si>
    <t>(ml/L)</t>
  </si>
  <si>
    <t xml:space="preserve">Certifying Official:  </t>
  </si>
  <si>
    <t xml:space="preserve">Geometric Mean :  </t>
  </si>
  <si>
    <t>Maxim.</t>
  </si>
  <si>
    <t>Minim.</t>
  </si>
  <si>
    <t>(%)</t>
  </si>
  <si>
    <t>(hours)</t>
  </si>
  <si>
    <t>Stored</t>
  </si>
  <si>
    <t>or</t>
  </si>
  <si>
    <t>Spread</t>
  </si>
  <si>
    <t>Site</t>
  </si>
  <si>
    <t>SLUDGE UTILIZATION</t>
  </si>
  <si>
    <t>Quantity</t>
  </si>
  <si>
    <t>Utilized</t>
  </si>
  <si>
    <t>Dewatered</t>
  </si>
  <si>
    <t>Feed</t>
  </si>
  <si>
    <t>Solids</t>
  </si>
  <si>
    <t>Filter</t>
  </si>
  <si>
    <t>Operation</t>
  </si>
  <si>
    <t>Polymer</t>
  </si>
  <si>
    <t>Cake</t>
  </si>
  <si>
    <t>Dry Solid</t>
  </si>
  <si>
    <t>Lime</t>
  </si>
  <si>
    <t>pH</t>
  </si>
  <si>
    <t>Sludge</t>
  </si>
  <si>
    <t>Percent Removal :</t>
  </si>
  <si>
    <t>January</t>
  </si>
  <si>
    <t>Page  2.</t>
  </si>
  <si>
    <t>SUMMARY DATA</t>
  </si>
  <si>
    <t>BOD, 5-day</t>
  </si>
  <si>
    <t>% removal</t>
  </si>
  <si>
    <t>Frequency</t>
  </si>
  <si>
    <t>Sample</t>
  </si>
  <si>
    <t>Type</t>
  </si>
  <si>
    <t>Exceptions</t>
  </si>
  <si>
    <t>Units</t>
  </si>
  <si>
    <t>Monthly</t>
  </si>
  <si>
    <t>Daily</t>
  </si>
  <si>
    <t>(lbs / day)</t>
  </si>
  <si>
    <t>(MGD)</t>
  </si>
  <si>
    <t>(mg / L)</t>
  </si>
  <si>
    <t>(percent)</t>
  </si>
  <si>
    <t xml:space="preserve">Reporting :  </t>
  </si>
  <si>
    <t xml:space="preserve">Permit :  </t>
  </si>
  <si>
    <t>Mo Aver</t>
  </si>
  <si>
    <t>High Wkly</t>
  </si>
  <si>
    <t>SETTLEABLE SOLIDS</t>
  </si>
  <si>
    <t>REPORTING</t>
  </si>
  <si>
    <t>Page  3.</t>
  </si>
  <si>
    <t>N.P.D.E.S. Permit Number ME 0100102</t>
  </si>
  <si>
    <t>Week 1</t>
  </si>
  <si>
    <t>Week 2</t>
  </si>
  <si>
    <t>Week 3</t>
  </si>
  <si>
    <t>Week 4</t>
  </si>
  <si>
    <t>Week 5</t>
  </si>
  <si>
    <t>High Weekly Average</t>
  </si>
  <si>
    <t>HIGH  WEEKLY AVERAGE VALUES</t>
  </si>
  <si>
    <t>%  Removal</t>
  </si>
  <si>
    <t>(Report)</t>
  </si>
  <si>
    <t>Discharge Monthly Report :</t>
  </si>
  <si>
    <t>State Discharge License Number W 002600-5L-C-R</t>
  </si>
  <si>
    <t>check formulas for designation of weeks</t>
  </si>
  <si>
    <t>-</t>
  </si>
  <si>
    <t>identifies cell for keyed data entry</t>
  </si>
  <si>
    <t>February</t>
  </si>
  <si>
    <t>Gregory H. Thulen</t>
  </si>
  <si>
    <t>Treatment Operations Division Supervisor</t>
  </si>
  <si>
    <t>Page  1.</t>
  </si>
  <si>
    <t>A       N       N       U       A       L</t>
  </si>
  <si>
    <t>Parameter</t>
  </si>
  <si>
    <t>Function</t>
  </si>
  <si>
    <t>PLANT FLOW</t>
  </si>
  <si>
    <t>total</t>
  </si>
  <si>
    <t>total; average</t>
  </si>
  <si>
    <t>maximum</t>
  </si>
  <si>
    <t>max</t>
  </si>
  <si>
    <t>average</t>
  </si>
  <si>
    <t>minimum</t>
  </si>
  <si>
    <t>min</t>
  </si>
  <si>
    <t>HOLDING WASTE</t>
  </si>
  <si>
    <t>total received</t>
  </si>
  <si>
    <t>SEPTIC WASTE</t>
  </si>
  <si>
    <t>total removed</t>
  </si>
  <si>
    <t>(cubic yards)</t>
  </si>
  <si>
    <t>total; per month</t>
  </si>
  <si>
    <t>hypochlorite</t>
  </si>
  <si>
    <t>(pounds)</t>
  </si>
  <si>
    <t>(std units)</t>
  </si>
  <si>
    <t>(degrees C.)</t>
  </si>
  <si>
    <t>(ml / l)</t>
  </si>
  <si>
    <t>(mg / l)</t>
  </si>
  <si>
    <t>removal</t>
  </si>
  <si>
    <t>total volume</t>
  </si>
  <si>
    <t>monthly average</t>
  </si>
  <si>
    <t>(gallons / mo)</t>
  </si>
  <si>
    <t>Feed solids</t>
  </si>
  <si>
    <t>Press run time</t>
  </si>
  <si>
    <t>(hours / wk)</t>
  </si>
  <si>
    <t>total added</t>
  </si>
  <si>
    <t>(pounds / wk)</t>
  </si>
  <si>
    <t>Cake solids</t>
  </si>
  <si>
    <t>Generated</t>
  </si>
  <si>
    <t>(cu. yd.  / wk)</t>
  </si>
  <si>
    <t>June</t>
  </si>
  <si>
    <t>OFF FOR SEASON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</si>
  <si>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</si>
  <si>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</si>
  <si>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</si>
  <si>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</si>
  <si>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</si>
  <si>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</si>
  <si>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</si>
  <si>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</si>
  <si>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</si>
  <si>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E.COLI</t>
  </si>
  <si>
    <t xml:space="preserve"> -</t>
  </si>
  <si>
    <t>(1/100ML)</t>
  </si>
  <si>
    <t xml:space="preserve"> 03/07</t>
  </si>
  <si>
    <t>CHLORINE</t>
  </si>
  <si>
    <t xml:space="preserve"> 02/01</t>
  </si>
  <si>
    <t>CLOUDY</t>
  </si>
  <si>
    <t>CLEAR</t>
  </si>
  <si>
    <t>HAWK RIDGE</t>
  </si>
  <si>
    <t>COMPOST</t>
  </si>
  <si>
    <t xml:space="preserve">HAWK RIDGE </t>
  </si>
  <si>
    <t>RAIN</t>
  </si>
  <si>
    <t>SNOW</t>
  </si>
  <si>
    <t>Hawk Ridge</t>
  </si>
  <si>
    <t>Compost</t>
  </si>
  <si>
    <t xml:space="preserve">Hawk Ridge </t>
  </si>
  <si>
    <t>*</t>
  </si>
  <si>
    <t>Sampler malfunctioned.  Ran continuously for approx  5 hours</t>
  </si>
  <si>
    <t>PINE TREE</t>
  </si>
  <si>
    <t>LANDFILL</t>
  </si>
  <si>
    <t>LT RAIN</t>
  </si>
  <si>
    <t>EGYPT</t>
  </si>
  <si>
    <t>STORE</t>
  </si>
  <si>
    <t>BOD  Dilution Water Depleted  &gt;  2.0  Mg/L Meter Probe Problem Installed New Probe Tip</t>
  </si>
  <si>
    <t>STORED</t>
  </si>
  <si>
    <t>Lime process operation problem, did not meet 24 hour pH, took 24 yards sludge to Hawk Ridge for compost</t>
  </si>
  <si>
    <t>SPREAD</t>
  </si>
  <si>
    <t>One-time exception to Permit Daily Maximum of 949 colonies per 100 ml, due to delay in scheduled maintenance of chlorine contact tank.</t>
  </si>
  <si>
    <t>LT SNOW</t>
  </si>
  <si>
    <t>Annual Report of Treatment Operations:  2004.</t>
  </si>
  <si>
    <t>file:</t>
  </si>
  <si>
    <t>Max/Avg/Min</t>
  </si>
  <si>
    <t>Report only.</t>
  </si>
  <si>
    <t>Limits</t>
  </si>
  <si>
    <t>P E R M I 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</si>
</sst>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/d"/>
    <numFmt numFmtId="167" formatCode="0.00000"/>
    <numFmt numFmtId="168" formatCode="0.0000"/>
    <numFmt numFmtId="169" formatCode="#,##0.000"/>
    <numFmt numFmtId="170" formatCode="#,##0.0"/>
    <numFmt numFmtId="171" formatCode="00000"/>
    <numFmt numFmtId="172" formatCode="#,##0.0000"/>
    <numFmt numFmtId="173" formatCode="#,##0.00000"/>
    <numFmt numFmtId="174" formatCode="#,##0.000000"/>
    <numFmt numFmtId="175" formatCode="#,##0.0000000"/>
    <numFmt numFmtId="176" formatCode="0.0000000"/>
    <numFmt numFmtId="177" formatCode="0.000000"/>
    <numFmt numFmtId="178" formatCode="0;\-0;;@"/>
    <numFmt numFmtId="179" formatCode="0.000;\-0;;@"/>
    <numFmt numFmtId="180" formatCode="0.00;\-0;;@"/>
    <numFmt numFmtId="181" formatCode="0.0;\-0;;@"/>
    <numFmt numFmtId="182" formatCode="0.000_)"/>
    <numFmt numFmtId="183" formatCode="#,##0.000_);\(#,##0.000\)"/>
    <numFmt numFmtId="184" formatCode="0.0_)"/>
    <numFmt numFmtId="185" formatCode="0_)"/>
    <numFmt numFmtId="186" formatCode="0.00_)"/>
    <numFmt numFmtId="187" formatCode="_(* #,##0.000_);_(* \(#,##0.000\);_(* &quot;-&quot;??_);_(@_)"/>
    <numFmt numFmtId="188" formatCode="0.00000000"/>
    <numFmt numFmtId="189" formatCode="_(* #,##0.0_);_(* \(#,##0.0\);_(* &quot;-&quot;??_);_(@_)"/>
    <numFmt numFmtId="190" formatCode="_(* #,##0_);_(* \(#,##0\);_(* &quot;-&quot;??_);_(@_)"/>
    <numFmt numFmtId="191" formatCode="0.00;\-0.0;;@"/>
    <numFmt numFmtId="192" formatCode="0.00;\-0.00;;@"/>
    <numFmt numFmtId="193" formatCode="0.00;\-0.000;;@"/>
    <numFmt numFmtId="194" formatCode="0.00;\-0.0000;;@"/>
    <numFmt numFmtId="195" formatCode="0."/>
    <numFmt numFmtId="196" formatCode="0.000;\-0.0;;@"/>
  </numFmts>
  <fonts count="15">
    <font>
      <sz val="10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u val="single"/>
      <sz val="10"/>
      <name val="Bookman Old Style"/>
      <family val="1"/>
    </font>
    <font>
      <b/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169" fontId="0" fillId="0" borderId="6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170" fontId="0" fillId="0" borderId="6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 horizontal="right"/>
      <protection/>
    </xf>
    <xf numFmtId="166" fontId="0" fillId="0" borderId="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 quotePrefix="1">
      <alignment horizontal="right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right"/>
      <protection/>
    </xf>
    <xf numFmtId="166" fontId="0" fillId="0" borderId="8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 applyProtection="1">
      <alignment/>
      <protection/>
    </xf>
    <xf numFmtId="165" fontId="0" fillId="0" borderId="8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165" fontId="0" fillId="0" borderId="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4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170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170" fontId="0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 applyProtection="1">
      <alignment/>
      <protection locked="0"/>
    </xf>
    <xf numFmtId="170" fontId="0" fillId="0" borderId="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 applyProtection="1">
      <alignment/>
      <protection locked="0"/>
    </xf>
    <xf numFmtId="170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0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170" fontId="0" fillId="0" borderId="14" xfId="0" applyNumberFormat="1" applyFont="1" applyFill="1" applyBorder="1" applyAlignment="1" applyProtection="1">
      <alignment horizontal="right"/>
      <protection locked="0"/>
    </xf>
    <xf numFmtId="170" fontId="0" fillId="0" borderId="10" xfId="0" applyNumberFormat="1" applyFont="1" applyFill="1" applyBorder="1" applyAlignment="1" applyProtection="1">
      <alignment/>
      <protection locked="0"/>
    </xf>
    <xf numFmtId="170" fontId="0" fillId="0" borderId="6" xfId="0" applyNumberFormat="1" applyFont="1" applyFill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170" fontId="0" fillId="0" borderId="6" xfId="0" applyNumberFormat="1" applyFont="1" applyFill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170" fontId="0" fillId="0" borderId="10" xfId="0" applyNumberFormat="1" applyFont="1" applyFill="1" applyBorder="1" applyAlignment="1" applyProtection="1">
      <alignment horizontal="right"/>
      <protection locked="0"/>
    </xf>
    <xf numFmtId="170" fontId="0" fillId="0" borderId="6" xfId="0" applyNumberFormat="1" applyFont="1" applyFill="1" applyBorder="1" applyAlignment="1" applyProtection="1">
      <alignment horizontal="right"/>
      <protection locked="0"/>
    </xf>
    <xf numFmtId="17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right"/>
      <protection/>
    </xf>
    <xf numFmtId="179" fontId="0" fillId="0" borderId="4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Alignment="1" applyProtection="1">
      <alignment horizontal="right"/>
      <protection locked="0"/>
    </xf>
    <xf numFmtId="179" fontId="0" fillId="0" borderId="4" xfId="0" applyNumberFormat="1" applyFont="1" applyFill="1" applyBorder="1" applyAlignment="1" applyProtection="1">
      <alignment horizontal="right"/>
      <protection locked="0"/>
    </xf>
    <xf numFmtId="179" fontId="0" fillId="0" borderId="6" xfId="0" applyNumberFormat="1" applyFont="1" applyFill="1" applyBorder="1" applyAlignment="1" applyProtection="1">
      <alignment horizontal="right"/>
      <protection locked="0"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 applyProtection="1" quotePrefix="1">
      <alignment horizontal="right"/>
      <protection locked="0"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right"/>
      <protection locked="0"/>
    </xf>
    <xf numFmtId="166" fontId="0" fillId="2" borderId="0" xfId="0" applyNumberFormat="1" applyFont="1" applyFill="1" applyBorder="1" applyAlignment="1" applyProtection="1" quotePrefix="1">
      <alignment horizontal="right"/>
      <protection locked="0"/>
    </xf>
    <xf numFmtId="165" fontId="0" fillId="2" borderId="0" xfId="0" applyNumberFormat="1" applyFont="1" applyFill="1" applyBorder="1" applyAlignment="1" applyProtection="1">
      <alignment horizontal="right"/>
      <protection locked="0"/>
    </xf>
    <xf numFmtId="169" fontId="0" fillId="2" borderId="0" xfId="0" applyNumberFormat="1" applyFont="1" applyFill="1" applyBorder="1" applyAlignment="1" applyProtection="1">
      <alignment horizontal="right"/>
      <protection locked="0"/>
    </xf>
    <xf numFmtId="166" fontId="0" fillId="2" borderId="0" xfId="0" applyNumberFormat="1" applyFont="1" applyFill="1" applyBorder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195" fontId="3" fillId="0" borderId="0" xfId="0" applyNumberFormat="1" applyFont="1" applyFill="1" applyAlignment="1" applyProtection="1">
      <alignment horizontal="left"/>
      <protection/>
    </xf>
    <xf numFmtId="3" fontId="5" fillId="0" borderId="6" xfId="0" applyNumberFormat="1" applyFont="1" applyFill="1" applyBorder="1" applyAlignment="1" applyProtection="1">
      <alignment horizontal="right"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5" fillId="0" borderId="6" xfId="0" applyNumberFormat="1" applyFont="1" applyFill="1" applyBorder="1" applyAlignment="1" applyProtection="1">
      <alignment horizontal="right"/>
      <protection/>
    </xf>
    <xf numFmtId="2" fontId="5" fillId="0" borderId="11" xfId="0" applyNumberFormat="1" applyFont="1" applyFill="1" applyBorder="1" applyAlignment="1" applyProtection="1">
      <alignment horizontal="right"/>
      <protection/>
    </xf>
    <xf numFmtId="170" fontId="0" fillId="0" borderId="6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0" fillId="0" borderId="8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/>
    </xf>
    <xf numFmtId="170" fontId="0" fillId="0" borderId="8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170" fontId="0" fillId="0" borderId="8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169" fontId="5" fillId="0" borderId="7" xfId="0" applyNumberFormat="1" applyFont="1" applyFill="1" applyBorder="1" applyAlignment="1" applyProtection="1">
      <alignment horizontal="right"/>
      <protection/>
    </xf>
    <xf numFmtId="169" fontId="5" fillId="0" borderId="9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2" fontId="5" fillId="0" borderId="7" xfId="0" applyNumberFormat="1" applyFont="1" applyFill="1" applyBorder="1" applyAlignment="1" applyProtection="1">
      <alignment horizontal="right"/>
      <protection/>
    </xf>
    <xf numFmtId="170" fontId="5" fillId="0" borderId="8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170" fontId="0" fillId="0" borderId="12" xfId="0" applyNumberFormat="1" applyFont="1" applyFill="1" applyBorder="1" applyAlignment="1" applyProtection="1">
      <alignment horizontal="right"/>
      <protection/>
    </xf>
    <xf numFmtId="4" fontId="5" fillId="0" borderId="8" xfId="0" applyNumberFormat="1" applyFont="1" applyFill="1" applyBorder="1" applyAlignment="1" applyProtection="1">
      <alignment horizontal="right"/>
      <protection/>
    </xf>
    <xf numFmtId="3" fontId="5" fillId="0" borderId="9" xfId="0" applyNumberFormat="1" applyFont="1" applyFill="1" applyBorder="1" applyAlignment="1" applyProtection="1">
      <alignment horizontal="right"/>
      <protection/>
    </xf>
    <xf numFmtId="170" fontId="5" fillId="0" borderId="7" xfId="0" applyNumberFormat="1" applyFont="1" applyFill="1" applyBorder="1" applyAlignment="1" applyProtection="1">
      <alignment horizontal="right"/>
      <protection/>
    </xf>
    <xf numFmtId="170" fontId="5" fillId="0" borderId="9" xfId="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right"/>
      <protection/>
    </xf>
    <xf numFmtId="3" fontId="5" fillId="0" borderId="8" xfId="0" applyNumberFormat="1" applyFont="1" applyFill="1" applyBorder="1" applyAlignment="1" applyProtection="1">
      <alignment horizontal="right"/>
      <protection/>
    </xf>
    <xf numFmtId="4" fontId="5" fillId="0" borderId="9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170" fontId="0" fillId="0" borderId="9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 locked="0"/>
    </xf>
    <xf numFmtId="2" fontId="5" fillId="0" borderId="8" xfId="0" applyNumberFormat="1" applyFont="1" applyFill="1" applyBorder="1" applyAlignment="1" applyProtection="1">
      <alignment horizontal="right"/>
      <protection/>
    </xf>
    <xf numFmtId="2" fontId="5" fillId="0" borderId="9" xfId="0" applyNumberFormat="1" applyFont="1" applyFill="1" applyBorder="1" applyAlignment="1" applyProtection="1">
      <alignment horizontal="right"/>
      <protection/>
    </xf>
    <xf numFmtId="169" fontId="0" fillId="0" borderId="10" xfId="0" applyNumberFormat="1" applyFont="1" applyFill="1" applyBorder="1" applyAlignment="1" applyProtection="1">
      <alignment horizontal="right"/>
      <protection/>
    </xf>
    <xf numFmtId="169" fontId="0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170" fontId="5" fillId="0" borderId="14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Font="1" applyFill="1" applyBorder="1" applyAlignment="1" applyProtection="1">
      <alignment horizontal="right"/>
      <protection/>
    </xf>
    <xf numFmtId="170" fontId="0" fillId="0" borderId="11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0" fontId="5" fillId="0" borderId="11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169" fontId="0" fillId="0" borderId="7" xfId="0" applyNumberFormat="1" applyFont="1" applyFill="1" applyBorder="1" applyAlignment="1" applyProtection="1">
      <alignment horizontal="right"/>
      <protection/>
    </xf>
    <xf numFmtId="169" fontId="0" fillId="0" borderId="9" xfId="0" applyNumberFormat="1" applyFont="1" applyFill="1" applyBorder="1" applyAlignment="1" applyProtection="1">
      <alignment horizontal="right"/>
      <protection/>
    </xf>
    <xf numFmtId="170" fontId="5" fillId="0" borderId="12" xfId="0" applyNumberFormat="1" applyFont="1" applyFill="1" applyBorder="1" applyAlignment="1" applyProtection="1">
      <alignment horizontal="right"/>
      <protection/>
    </xf>
    <xf numFmtId="170" fontId="0" fillId="0" borderId="7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Fill="1" applyBorder="1" applyAlignment="1" applyProtection="1">
      <alignment horizontal="right"/>
      <protection locked="0"/>
    </xf>
    <xf numFmtId="4" fontId="5" fillId="0" borderId="6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 horizontal="right"/>
      <protection/>
    </xf>
    <xf numFmtId="164" fontId="8" fillId="0" borderId="0" xfId="15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0" fontId="8" fillId="0" borderId="0" xfId="0" applyNumberFormat="1" applyFont="1" applyFill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187" fontId="8" fillId="0" borderId="0" xfId="15" applyNumberFormat="1" applyFont="1" applyFill="1" applyAlignment="1">
      <alignment horizontal="right"/>
    </xf>
    <xf numFmtId="3" fontId="8" fillId="0" borderId="0" xfId="15" applyNumberFormat="1" applyFont="1" applyFill="1" applyAlignment="1">
      <alignment horizontal="right"/>
    </xf>
    <xf numFmtId="170" fontId="8" fillId="0" borderId="0" xfId="15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4" fontId="8" fillId="0" borderId="0" xfId="15" applyNumberFormat="1" applyFont="1" applyFill="1" applyAlignment="1">
      <alignment horizontal="right"/>
    </xf>
    <xf numFmtId="189" fontId="8" fillId="0" borderId="0" xfId="15" applyNumberFormat="1" applyFont="1" applyFill="1" applyAlignment="1">
      <alignment horizontal="right"/>
    </xf>
    <xf numFmtId="190" fontId="8" fillId="0" borderId="0" xfId="0" applyNumberFormat="1" applyFont="1" applyFill="1" applyAlignment="1">
      <alignment horizontal="right"/>
    </xf>
    <xf numFmtId="170" fontId="8" fillId="0" borderId="0" xfId="15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6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Font="1" applyFill="1" applyBorder="1" applyAlignment="1" applyProtection="1" quotePrefix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1" fontId="0" fillId="2" borderId="0" xfId="0" applyNumberFormat="1" applyFont="1" applyFill="1" applyBorder="1" applyAlignment="1" applyProtection="1">
      <alignment horizontal="right"/>
      <protection/>
    </xf>
    <xf numFmtId="2" fontId="5" fillId="2" borderId="0" xfId="0" applyNumberFormat="1" applyFont="1" applyFill="1" applyBorder="1" applyAlignment="1" applyProtection="1">
      <alignment horizontal="right"/>
      <protection/>
    </xf>
    <xf numFmtId="166" fontId="0" fillId="2" borderId="0" xfId="0" applyNumberFormat="1" applyFont="1" applyFill="1" applyBorder="1" applyAlignment="1" applyProtection="1" quotePrefix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165" fontId="0" fillId="2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69" fontId="0" fillId="2" borderId="0" xfId="0" applyNumberFormat="1" applyFont="1" applyFill="1" applyBorder="1" applyAlignment="1" applyProtection="1">
      <alignment horizontal="right"/>
      <protection/>
    </xf>
    <xf numFmtId="166" fontId="0" fillId="2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9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170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/>
      <protection locked="0"/>
    </xf>
    <xf numFmtId="2" fontId="14" fillId="0" borderId="0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3" fontId="8" fillId="0" borderId="0" xfId="15" applyNumberFormat="1" applyFont="1" applyFill="1" applyAlignment="1">
      <alignment horizontal="right"/>
    </xf>
    <xf numFmtId="190" fontId="8" fillId="0" borderId="0" xfId="15" applyNumberFormat="1" applyFont="1" applyFill="1" applyAlignment="1">
      <alignment horizontal="right"/>
    </xf>
    <xf numFmtId="164" fontId="8" fillId="0" borderId="5" xfId="15" applyNumberFormat="1" applyFont="1" applyFill="1" applyBorder="1" applyAlignment="1">
      <alignment horizontal="right"/>
    </xf>
    <xf numFmtId="3" fontId="8" fillId="0" borderId="5" xfId="15" applyNumberFormat="1" applyFont="1" applyFill="1" applyBorder="1" applyAlignment="1">
      <alignment horizontal="right"/>
    </xf>
    <xf numFmtId="170" fontId="8" fillId="0" borderId="5" xfId="15" applyNumberFormat="1" applyFont="1" applyFill="1" applyBorder="1" applyAlignment="1">
      <alignment horizontal="right"/>
    </xf>
    <xf numFmtId="4" fontId="8" fillId="0" borderId="5" xfId="15" applyNumberFormat="1" applyFont="1" applyFill="1" applyBorder="1" applyAlignment="1">
      <alignment horizontal="right"/>
    </xf>
    <xf numFmtId="189" fontId="8" fillId="0" borderId="5" xfId="15" applyNumberFormat="1" applyFont="1" applyFill="1" applyBorder="1" applyAlignment="1">
      <alignment horizontal="right"/>
    </xf>
    <xf numFmtId="190" fontId="8" fillId="0" borderId="5" xfId="0" applyNumberFormat="1" applyFont="1" applyFill="1" applyBorder="1" applyAlignment="1">
      <alignment horizontal="right"/>
    </xf>
    <xf numFmtId="190" fontId="8" fillId="0" borderId="5" xfId="15" applyNumberFormat="1" applyFont="1" applyFill="1" applyBorder="1" applyAlignment="1">
      <alignment horizontal="right"/>
    </xf>
    <xf numFmtId="43" fontId="8" fillId="0" borderId="5" xfId="15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165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4" fontId="0" fillId="0" borderId="3" xfId="0" applyNumberFormat="1" applyFont="1" applyFill="1" applyBorder="1" applyAlignment="1" applyProtection="1">
      <alignment horizontal="center"/>
      <protection/>
    </xf>
    <xf numFmtId="4" fontId="0" fillId="0" borderId="4" xfId="0" applyNumberFormat="1" applyFont="1" applyFill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3" fontId="2" fillId="0" borderId="5" xfId="0" applyNumberFormat="1" applyFont="1" applyFill="1" applyBorder="1" applyAlignment="1" applyProtection="1">
      <alignment horizontal="center" vertical="center" textRotation="255"/>
      <protection locked="0"/>
    </xf>
    <xf numFmtId="2" fontId="0" fillId="0" borderId="3" xfId="0" applyNumberFormat="1" applyFont="1" applyFill="1" applyBorder="1" applyAlignment="1" applyProtection="1">
      <alignment horizontal="center"/>
      <protection/>
    </xf>
    <xf numFmtId="2" fontId="0" fillId="0" borderId="4" xfId="0" applyNumberFormat="1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114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January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January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0">
        <v>2418994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4">
        <v>2422069</v>
      </c>
      <c r="D12" s="137">
        <f aca="true" t="shared" si="0" ref="D12:D42">(IF(C12=0," ",((C12-C11)/1000)))</f>
        <v>3.075</v>
      </c>
      <c r="E12" s="139">
        <v>4</v>
      </c>
      <c r="F12" s="140">
        <v>1.3</v>
      </c>
      <c r="G12" s="81" t="str">
        <f aca="true" t="shared" si="1" ref="G12:G42">(IF(C12=0," ","0.00"))</f>
        <v>0.00</v>
      </c>
      <c r="H12" s="84">
        <v>0</v>
      </c>
      <c r="I12" s="85">
        <v>0</v>
      </c>
      <c r="K12" s="86" t="s">
        <v>208</v>
      </c>
      <c r="L12" s="84">
        <v>35</v>
      </c>
      <c r="M12" s="87">
        <v>0</v>
      </c>
      <c r="O12" s="88"/>
      <c r="Q12" s="89"/>
      <c r="R12" s="90"/>
      <c r="S12" s="91"/>
      <c r="U12" s="92">
        <v>6.9</v>
      </c>
      <c r="V12" s="93">
        <v>7</v>
      </c>
      <c r="W12" s="94">
        <v>6.8</v>
      </c>
      <c r="Y12" s="89">
        <v>12</v>
      </c>
      <c r="Z12" s="95">
        <v>11</v>
      </c>
      <c r="AA12" s="91">
        <v>11</v>
      </c>
      <c r="AC12" s="92">
        <v>1</v>
      </c>
      <c r="AD12" s="90">
        <v>0.1</v>
      </c>
      <c r="AE12" s="96">
        <v>0</v>
      </c>
      <c r="AG12" s="45">
        <f aca="true" t="shared" si="2" ref="AG12:AG42">($A12)</f>
        <v>1</v>
      </c>
      <c r="AI12" s="97"/>
      <c r="AJ12" s="55">
        <f aca="true" t="shared" si="3" ref="AJ12:AJ42">IF(AI12=0,"",(D12*AI12*8.34))</f>
      </c>
      <c r="AK12" s="97"/>
      <c r="AL12" s="55">
        <f aca="true" t="shared" si="4" ref="AL12:AL42">IF(AK12=0,"",(D12*AK12*8.34))</f>
      </c>
      <c r="AM12" s="97"/>
      <c r="AN12" s="55">
        <f aca="true" t="shared" si="5" ref="AN12:AN42">IF(AM12=0,"",(D12*AM12*8.34))</f>
      </c>
      <c r="AO12" s="98"/>
      <c r="AQ12" s="99"/>
      <c r="AR12" s="55">
        <f aca="true" t="shared" si="6" ref="AR12:AR42">IF(AQ12=0,"",(D12*AQ12*8.34))</f>
      </c>
      <c r="AS12" s="97"/>
      <c r="AT12" s="55">
        <f aca="true" t="shared" si="7" ref="AT12:AT42">IF(AS12=0,"",(D12*AS12*8.34))</f>
      </c>
      <c r="AU12" s="97"/>
      <c r="AV12" s="55">
        <f aca="true" t="shared" si="8" ref="AV12:AV42">IF(AU12=0,"",(D12*AU12*8.34))</f>
      </c>
      <c r="AX12" s="99"/>
      <c r="AY12" s="100"/>
      <c r="AZ12" s="101"/>
      <c r="BA12" s="97"/>
      <c r="BB12" s="101"/>
      <c r="BC12" s="97"/>
      <c r="BD12" s="97"/>
      <c r="BE12" s="102"/>
      <c r="BG12" s="99"/>
      <c r="BH12" s="83"/>
      <c r="BI12" s="103"/>
      <c r="BK12" s="17"/>
      <c r="BL12" s="19"/>
      <c r="BM12" s="56" t="s">
        <v>117</v>
      </c>
      <c r="BN12" s="20"/>
      <c r="BO12" s="57" t="s">
        <v>130</v>
      </c>
      <c r="BP12" s="26"/>
      <c r="BQ12" s="149">
        <f>(IF(((SUM(AN12:AN42))=0)," ",(AVERAGE(AN12:AN42))))</f>
        <v>309.2414261538462</v>
      </c>
      <c r="BR12" s="149">
        <f>MAX(AN12:AN42)</f>
        <v>352.18152000000003</v>
      </c>
      <c r="BS12" s="104" t="s">
        <v>126</v>
      </c>
      <c r="BT12" s="104"/>
      <c r="BU12" s="149">
        <f>(IF(((SUM(AM12:AM42))=0)," ",(AVERAGE(AM12:AM42))))</f>
        <v>14.615384615384615</v>
      </c>
      <c r="BV12" s="143">
        <f>(CG23)</f>
        <v>20</v>
      </c>
      <c r="BW12" s="149">
        <f>MAX(AM12:AM42)</f>
        <v>18</v>
      </c>
      <c r="BX12" s="104" t="s">
        <v>128</v>
      </c>
      <c r="BY12" s="104"/>
      <c r="BZ12" s="104">
        <v>0</v>
      </c>
      <c r="CA12" s="144" t="s">
        <v>47</v>
      </c>
      <c r="CB12" s="104">
        <v>24</v>
      </c>
      <c r="CC12" s="136"/>
      <c r="CE12" s="24"/>
      <c r="CF12" s="20" t="s">
        <v>138</v>
      </c>
      <c r="CG12" s="105">
        <v>20</v>
      </c>
      <c r="CH12" s="105">
        <v>513</v>
      </c>
      <c r="CI12" s="105"/>
      <c r="CJ12" s="105">
        <v>18</v>
      </c>
      <c r="CK12" s="105">
        <v>463</v>
      </c>
      <c r="CL12" s="239"/>
      <c r="CM12" s="151">
        <f>(AVERAGE(AE12:AE15))</f>
        <v>0.0025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4">
        <v>2424915</v>
      </c>
      <c r="D13" s="137">
        <f t="shared" si="0"/>
        <v>2.846</v>
      </c>
      <c r="E13" s="139">
        <v>4</v>
      </c>
      <c r="F13" s="140">
        <v>1.4</v>
      </c>
      <c r="G13" s="81" t="str">
        <f t="shared" si="1"/>
        <v>0.00</v>
      </c>
      <c r="H13" s="84">
        <v>1300</v>
      </c>
      <c r="I13" s="85">
        <v>1750</v>
      </c>
      <c r="K13" s="86" t="s">
        <v>208</v>
      </c>
      <c r="L13" s="84">
        <v>25</v>
      </c>
      <c r="M13" s="87">
        <v>0</v>
      </c>
      <c r="O13" s="106"/>
      <c r="Q13" s="107"/>
      <c r="R13" s="152"/>
      <c r="S13" s="108"/>
      <c r="U13" s="92">
        <v>7.1</v>
      </c>
      <c r="V13" s="93">
        <v>6.8</v>
      </c>
      <c r="W13" s="94">
        <v>6.8</v>
      </c>
      <c r="Y13" s="89">
        <v>12</v>
      </c>
      <c r="Z13" s="95">
        <v>11</v>
      </c>
      <c r="AA13" s="91">
        <v>11</v>
      </c>
      <c r="AC13" s="92">
        <v>3</v>
      </c>
      <c r="AD13" s="90">
        <v>0.4</v>
      </c>
      <c r="AE13" s="96">
        <v>0</v>
      </c>
      <c r="AG13" s="45">
        <f t="shared" si="2"/>
        <v>2</v>
      </c>
      <c r="AI13" s="97">
        <v>170</v>
      </c>
      <c r="AJ13" s="55">
        <f t="shared" si="3"/>
        <v>4035.0588</v>
      </c>
      <c r="AK13" s="97"/>
      <c r="AL13" s="55">
        <f t="shared" si="4"/>
      </c>
      <c r="AM13" s="97">
        <v>13</v>
      </c>
      <c r="AN13" s="55">
        <f t="shared" si="5"/>
        <v>308.56332000000003</v>
      </c>
      <c r="AO13" s="109">
        <v>8</v>
      </c>
      <c r="AQ13" s="99">
        <v>150</v>
      </c>
      <c r="AR13" s="55">
        <f t="shared" si="6"/>
        <v>3560.346</v>
      </c>
      <c r="AS13" s="97"/>
      <c r="AT13" s="55">
        <f t="shared" si="7"/>
      </c>
      <c r="AU13" s="97">
        <v>18</v>
      </c>
      <c r="AV13" s="55">
        <f t="shared" si="8"/>
        <v>427.24152</v>
      </c>
      <c r="AX13" s="99">
        <v>37334</v>
      </c>
      <c r="AY13" s="100">
        <v>3</v>
      </c>
      <c r="AZ13" s="101">
        <v>2.25</v>
      </c>
      <c r="BA13" s="97">
        <v>21.7</v>
      </c>
      <c r="BB13" s="101">
        <v>22</v>
      </c>
      <c r="BC13" s="97">
        <v>12</v>
      </c>
      <c r="BD13" s="97"/>
      <c r="BE13" s="102"/>
      <c r="BG13" s="99">
        <v>12</v>
      </c>
      <c r="BH13" s="83" t="s">
        <v>210</v>
      </c>
      <c r="BI13" s="103" t="s">
        <v>211</v>
      </c>
      <c r="BK13" s="17"/>
      <c r="BL13" s="19"/>
      <c r="BM13" s="26" t="s">
        <v>86</v>
      </c>
      <c r="BN13" s="20"/>
      <c r="BO13" s="153" t="s">
        <v>131</v>
      </c>
      <c r="BP13" s="26"/>
      <c r="BQ13" s="236">
        <v>963</v>
      </c>
      <c r="BR13" s="236">
        <v>1605</v>
      </c>
      <c r="BS13" s="155" t="s">
        <v>126</v>
      </c>
      <c r="BT13" s="104"/>
      <c r="BU13" s="236">
        <v>30</v>
      </c>
      <c r="BV13" s="156">
        <v>45</v>
      </c>
      <c r="BW13" s="236">
        <v>50</v>
      </c>
      <c r="BX13" s="155" t="s">
        <v>128</v>
      </c>
      <c r="BY13" s="104"/>
      <c r="BZ13" s="237" t="s">
        <v>150</v>
      </c>
      <c r="CA13" s="157" t="s">
        <v>47</v>
      </c>
      <c r="CB13" s="155">
        <v>24</v>
      </c>
      <c r="CC13" s="136"/>
      <c r="CE13" s="24"/>
      <c r="CF13" s="20"/>
      <c r="CG13" s="105"/>
      <c r="CH13" s="105"/>
      <c r="CI13" s="105"/>
      <c r="CJ13" s="105"/>
      <c r="CK13" s="105"/>
      <c r="CL13" s="239"/>
      <c r="CM13" s="151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4">
        <v>2427800</v>
      </c>
      <c r="D14" s="137">
        <f t="shared" si="0"/>
        <v>2.885</v>
      </c>
      <c r="E14" s="139">
        <v>4</v>
      </c>
      <c r="F14" s="140">
        <v>1.3</v>
      </c>
      <c r="G14" s="81" t="str">
        <f t="shared" si="1"/>
        <v>0.00</v>
      </c>
      <c r="H14" s="84">
        <v>0</v>
      </c>
      <c r="I14" s="85">
        <v>0</v>
      </c>
      <c r="K14" s="86" t="s">
        <v>208</v>
      </c>
      <c r="L14" s="84">
        <v>28</v>
      </c>
      <c r="M14" s="87">
        <v>0.05</v>
      </c>
      <c r="O14" s="106"/>
      <c r="Q14" s="107" t="s">
        <v>10</v>
      </c>
      <c r="R14" s="152" t="s">
        <v>10</v>
      </c>
      <c r="S14" s="108" t="s">
        <v>10</v>
      </c>
      <c r="U14" s="92">
        <v>6.9</v>
      </c>
      <c r="V14" s="93">
        <v>6.9</v>
      </c>
      <c r="W14" s="94">
        <v>6.8</v>
      </c>
      <c r="Y14" s="89">
        <v>11</v>
      </c>
      <c r="Z14" s="95">
        <v>11</v>
      </c>
      <c r="AA14" s="91">
        <v>10</v>
      </c>
      <c r="AC14" s="92">
        <v>1.5</v>
      </c>
      <c r="AD14" s="90">
        <v>0.1</v>
      </c>
      <c r="AE14" s="96">
        <v>0.01</v>
      </c>
      <c r="AG14" s="45">
        <f t="shared" si="2"/>
        <v>3</v>
      </c>
      <c r="AI14" s="97"/>
      <c r="AJ14" s="55">
        <f t="shared" si="3"/>
      </c>
      <c r="AK14" s="97"/>
      <c r="AL14" s="55">
        <f t="shared" si="4"/>
      </c>
      <c r="AM14" s="97"/>
      <c r="AN14" s="55">
        <f t="shared" si="5"/>
      </c>
      <c r="AO14" s="109"/>
      <c r="AQ14" s="99"/>
      <c r="AR14" s="55">
        <f t="shared" si="6"/>
      </c>
      <c r="AS14" s="97"/>
      <c r="AT14" s="55">
        <f t="shared" si="7"/>
      </c>
      <c r="AU14" s="97"/>
      <c r="AV14" s="55">
        <f t="shared" si="8"/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(IF(((SUM(AM19:AM21))=0)," ",(AVERAGE(AM19:AM21))))</f>
        <v>12</v>
      </c>
      <c r="CH14" s="105">
        <f>(IF(((SUM(AN19:AN21))=0)," ",(AVERAGE(AN19:AN21))))</f>
        <v>276.82128</v>
      </c>
      <c r="CI14" s="105"/>
      <c r="CJ14" s="105">
        <f>(IF(((SUM(AU19:AU21))=0)," ",(AVERAGE(AU19:AU21))))</f>
        <v>20</v>
      </c>
      <c r="CK14" s="105">
        <f>(IF(((SUM(AV19:AV21))=0)," ",(AVERAGE(AV19:AV21))))</f>
        <v>461.45219999999995</v>
      </c>
      <c r="CL14" s="239"/>
      <c r="CM14" s="151">
        <f>(AVERAGE(AE16:AE22))</f>
        <v>0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4">
        <v>2430649</v>
      </c>
      <c r="D15" s="137">
        <f t="shared" si="0"/>
        <v>2.849</v>
      </c>
      <c r="E15" s="139">
        <v>4</v>
      </c>
      <c r="F15" s="140">
        <v>1.2</v>
      </c>
      <c r="G15" s="81" t="str">
        <f t="shared" si="1"/>
        <v>0.00</v>
      </c>
      <c r="H15" s="84">
        <v>0</v>
      </c>
      <c r="I15" s="85">
        <v>0</v>
      </c>
      <c r="K15" s="86" t="s">
        <v>208</v>
      </c>
      <c r="L15" s="84">
        <v>33</v>
      </c>
      <c r="M15" s="87">
        <v>0.12</v>
      </c>
      <c r="O15" s="106"/>
      <c r="Q15" s="107"/>
      <c r="R15" s="152"/>
      <c r="S15" s="108"/>
      <c r="U15" s="92">
        <v>7</v>
      </c>
      <c r="V15" s="93">
        <v>7.1</v>
      </c>
      <c r="W15" s="94">
        <v>6.8</v>
      </c>
      <c r="Y15" s="89">
        <v>11</v>
      </c>
      <c r="Z15" s="95">
        <v>11</v>
      </c>
      <c r="AA15" s="91">
        <v>11</v>
      </c>
      <c r="AC15" s="92">
        <v>3.5</v>
      </c>
      <c r="AD15" s="90">
        <v>0.01</v>
      </c>
      <c r="AE15" s="96">
        <v>0</v>
      </c>
      <c r="AG15" s="45">
        <f t="shared" si="2"/>
        <v>4</v>
      </c>
      <c r="AI15" s="97"/>
      <c r="AJ15" s="55">
        <f t="shared" si="3"/>
      </c>
      <c r="AK15" s="97"/>
      <c r="AL15" s="55">
        <f t="shared" si="4"/>
      </c>
      <c r="AM15" s="97"/>
      <c r="AN15" s="55">
        <f t="shared" si="5"/>
      </c>
      <c r="AO15" s="109"/>
      <c r="AQ15" s="99"/>
      <c r="AR15" s="55">
        <f t="shared" si="6"/>
      </c>
      <c r="AS15" s="97"/>
      <c r="AT15" s="55">
        <f t="shared" si="7"/>
      </c>
      <c r="AU15" s="97"/>
      <c r="AV15" s="55">
        <f t="shared" si="8"/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105"/>
      <c r="CH15" s="105"/>
      <c r="CI15" s="105"/>
      <c r="CJ15" s="105"/>
      <c r="CK15" s="105"/>
      <c r="CL15" s="239"/>
      <c r="CM15" s="151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2">
        <v>2433495</v>
      </c>
      <c r="D16" s="138">
        <f t="shared" si="0"/>
        <v>2.846</v>
      </c>
      <c r="E16" s="141">
        <v>4.4</v>
      </c>
      <c r="F16" s="142">
        <v>1.2</v>
      </c>
      <c r="G16" s="183" t="str">
        <f t="shared" si="1"/>
        <v>0.00</v>
      </c>
      <c r="H16" s="112">
        <v>1000</v>
      </c>
      <c r="I16" s="113">
        <v>0</v>
      </c>
      <c r="K16" s="114" t="s">
        <v>208</v>
      </c>
      <c r="L16" s="112">
        <v>29</v>
      </c>
      <c r="M16" s="115">
        <v>0</v>
      </c>
      <c r="O16" s="116"/>
      <c r="Q16" s="107" t="s">
        <v>4</v>
      </c>
      <c r="R16" s="152" t="s">
        <v>4</v>
      </c>
      <c r="S16" s="108" t="s">
        <v>4</v>
      </c>
      <c r="U16" s="117">
        <v>6.97</v>
      </c>
      <c r="V16" s="118">
        <v>6.9</v>
      </c>
      <c r="W16" s="119">
        <v>6.7</v>
      </c>
      <c r="Y16" s="120">
        <v>12</v>
      </c>
      <c r="Z16" s="121">
        <v>11</v>
      </c>
      <c r="AA16" s="122">
        <v>11</v>
      </c>
      <c r="AC16" s="117">
        <v>4.5</v>
      </c>
      <c r="AD16" s="123">
        <v>0</v>
      </c>
      <c r="AE16" s="124">
        <v>0</v>
      </c>
      <c r="AG16" s="45">
        <f t="shared" si="2"/>
        <v>5</v>
      </c>
      <c r="AI16" s="125"/>
      <c r="AJ16" s="65">
        <f t="shared" si="3"/>
      </c>
      <c r="AK16" s="125"/>
      <c r="AL16" s="65">
        <f t="shared" si="4"/>
      </c>
      <c r="AM16" s="125"/>
      <c r="AN16" s="65">
        <f t="shared" si="5"/>
      </c>
      <c r="AO16" s="126"/>
      <c r="AQ16" s="127"/>
      <c r="AR16" s="65">
        <f t="shared" si="6"/>
      </c>
      <c r="AS16" s="125"/>
      <c r="AT16" s="65">
        <f t="shared" si="7"/>
      </c>
      <c r="AU16" s="125"/>
      <c r="AV16" s="65">
        <f t="shared" si="8"/>
      </c>
      <c r="AX16" s="127">
        <v>60875</v>
      </c>
      <c r="AY16" s="128">
        <v>3</v>
      </c>
      <c r="AZ16" s="129">
        <v>4.75</v>
      </c>
      <c r="BA16" s="125">
        <v>34.1</v>
      </c>
      <c r="BB16" s="129">
        <v>24</v>
      </c>
      <c r="BC16" s="125">
        <v>24</v>
      </c>
      <c r="BD16" s="125"/>
      <c r="BE16" s="130"/>
      <c r="BG16" s="127">
        <v>24</v>
      </c>
      <c r="BH16" s="110" t="s">
        <v>210</v>
      </c>
      <c r="BI16" s="131" t="s">
        <v>211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(IF(((SUM(AM26:AM28))=0)," ",(AVERAGE(AM26:AM28))))</f>
        <v>13</v>
      </c>
      <c r="CH16" s="105">
        <f>(IF(((SUM(AN26:AN28))=0)," ",(AVERAGE(AN26:AN28))))</f>
        <v>279.25656000000004</v>
      </c>
      <c r="CI16" s="105"/>
      <c r="CJ16" s="105">
        <f>(IF(((SUM(AU26:AU28))=0)," ",(AVERAGE(AU26:AU28))))</f>
        <v>15</v>
      </c>
      <c r="CK16" s="105">
        <f>(IF(((SUM(AV26:AV28))=0)," ",(AVERAGE(AV26:AV28))))</f>
        <v>322.20756</v>
      </c>
      <c r="CL16" s="239"/>
      <c r="CM16" s="151">
        <f>(AVERAGE(AE23:AE29))</f>
        <v>0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4">
        <v>2436349</v>
      </c>
      <c r="D17" s="137">
        <f t="shared" si="0"/>
        <v>2.854</v>
      </c>
      <c r="E17" s="139">
        <v>4.2</v>
      </c>
      <c r="F17" s="140">
        <v>1</v>
      </c>
      <c r="G17" s="81" t="str">
        <f t="shared" si="1"/>
        <v>0.00</v>
      </c>
      <c r="H17" s="84">
        <v>0</v>
      </c>
      <c r="I17" s="85">
        <v>2000</v>
      </c>
      <c r="K17" s="86" t="s">
        <v>208</v>
      </c>
      <c r="L17" s="84">
        <v>26</v>
      </c>
      <c r="M17" s="87">
        <v>0.03</v>
      </c>
      <c r="O17" s="106"/>
      <c r="Q17" s="107"/>
      <c r="R17" s="152"/>
      <c r="S17" s="108"/>
      <c r="U17" s="92">
        <v>7.2</v>
      </c>
      <c r="V17" s="93">
        <v>7</v>
      </c>
      <c r="W17" s="94">
        <v>6.83</v>
      </c>
      <c r="Y17" s="89">
        <v>12</v>
      </c>
      <c r="Z17" s="95">
        <v>11</v>
      </c>
      <c r="AA17" s="91">
        <v>12</v>
      </c>
      <c r="AC17" s="92">
        <v>5</v>
      </c>
      <c r="AD17" s="90">
        <v>0</v>
      </c>
      <c r="AE17" s="96">
        <v>0</v>
      </c>
      <c r="AG17" s="45">
        <f t="shared" si="2"/>
        <v>6</v>
      </c>
      <c r="AI17" s="97"/>
      <c r="AJ17" s="55">
        <f t="shared" si="3"/>
      </c>
      <c r="AK17" s="97"/>
      <c r="AL17" s="55">
        <f t="shared" si="4"/>
      </c>
      <c r="AM17" s="97"/>
      <c r="AN17" s="55">
        <f t="shared" si="5"/>
      </c>
      <c r="AO17" s="109"/>
      <c r="AQ17" s="99"/>
      <c r="AR17" s="55">
        <f t="shared" si="6"/>
      </c>
      <c r="AS17" s="97"/>
      <c r="AT17" s="55">
        <f t="shared" si="7"/>
      </c>
      <c r="AU17" s="97"/>
      <c r="AV17" s="55">
        <f t="shared" si="8"/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38" t="s">
        <v>150</v>
      </c>
      <c r="BR17" s="238" t="s">
        <v>150</v>
      </c>
      <c r="BS17" s="238" t="s">
        <v>150</v>
      </c>
      <c r="BT17" s="104"/>
      <c r="BU17" s="145">
        <f>MIN(W12:W42)</f>
        <v>6.1</v>
      </c>
      <c r="BV17" s="238" t="s">
        <v>150</v>
      </c>
      <c r="BW17" s="145">
        <f>MAX(W12:W42)</f>
        <v>7.6</v>
      </c>
      <c r="BX17" s="104" t="s">
        <v>43</v>
      </c>
      <c r="BY17" s="104"/>
      <c r="BZ17" s="104">
        <v>0</v>
      </c>
      <c r="CA17" s="144" t="s">
        <v>48</v>
      </c>
      <c r="CB17" s="104" t="s">
        <v>23</v>
      </c>
      <c r="CC17" s="136"/>
      <c r="CE17" s="69"/>
      <c r="CF17" s="20"/>
      <c r="CG17" s="105"/>
      <c r="CH17" s="105"/>
      <c r="CI17" s="105"/>
      <c r="CJ17" s="105"/>
      <c r="CK17" s="105"/>
      <c r="CL17" s="240"/>
      <c r="CM17" s="151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4">
        <v>2439134</v>
      </c>
      <c r="D18" s="137">
        <f t="shared" si="0"/>
        <v>2.785</v>
      </c>
      <c r="E18" s="139">
        <v>4.2</v>
      </c>
      <c r="F18" s="140">
        <v>0.8</v>
      </c>
      <c r="G18" s="81" t="str">
        <f t="shared" si="1"/>
        <v>0.00</v>
      </c>
      <c r="H18" s="84">
        <v>3000</v>
      </c>
      <c r="I18" s="85">
        <v>1000</v>
      </c>
      <c r="K18" s="86" t="s">
        <v>209</v>
      </c>
      <c r="L18" s="84">
        <v>17</v>
      </c>
      <c r="M18" s="87">
        <v>0</v>
      </c>
      <c r="O18" s="106"/>
      <c r="Q18" s="107" t="s">
        <v>4</v>
      </c>
      <c r="R18" s="152" t="s">
        <v>4</v>
      </c>
      <c r="S18" s="108" t="s">
        <v>4</v>
      </c>
      <c r="U18" s="92">
        <v>7</v>
      </c>
      <c r="V18" s="93">
        <v>7</v>
      </c>
      <c r="W18" s="94">
        <v>6.6</v>
      </c>
      <c r="Y18" s="89">
        <v>12</v>
      </c>
      <c r="Z18" s="95">
        <v>11</v>
      </c>
      <c r="AA18" s="91">
        <v>10</v>
      </c>
      <c r="AC18" s="92">
        <v>4.5</v>
      </c>
      <c r="AD18" s="90">
        <v>0</v>
      </c>
      <c r="AE18" s="96">
        <v>0</v>
      </c>
      <c r="AG18" s="45">
        <f t="shared" si="2"/>
        <v>7</v>
      </c>
      <c r="AI18" s="97">
        <v>190</v>
      </c>
      <c r="AJ18" s="55">
        <f t="shared" si="3"/>
        <v>4413.111</v>
      </c>
      <c r="AK18" s="97"/>
      <c r="AL18" s="55">
        <f t="shared" si="4"/>
      </c>
      <c r="AM18" s="97">
        <v>15</v>
      </c>
      <c r="AN18" s="55">
        <f t="shared" si="5"/>
        <v>348.40350000000007</v>
      </c>
      <c r="AO18" s="109">
        <v>10</v>
      </c>
      <c r="AQ18" s="99">
        <v>158</v>
      </c>
      <c r="AR18" s="55">
        <f t="shared" si="6"/>
        <v>3669.8502000000003</v>
      </c>
      <c r="AS18" s="97"/>
      <c r="AT18" s="55">
        <f t="shared" si="7"/>
      </c>
      <c r="AU18" s="97">
        <v>31</v>
      </c>
      <c r="AV18" s="55">
        <f t="shared" si="8"/>
        <v>720.0339</v>
      </c>
      <c r="AX18" s="99"/>
      <c r="AY18" s="100"/>
      <c r="AZ18" s="101"/>
      <c r="BA18" s="97"/>
      <c r="BB18" s="101"/>
      <c r="BC18" s="97"/>
      <c r="BD18" s="97"/>
      <c r="BE18" s="102"/>
      <c r="BG18" s="99"/>
      <c r="BH18" s="83"/>
      <c r="BI18" s="103"/>
      <c r="BK18" s="17"/>
      <c r="BL18" s="19"/>
      <c r="BM18" s="26" t="s">
        <v>86</v>
      </c>
      <c r="BN18" s="20"/>
      <c r="BO18" s="153" t="s">
        <v>131</v>
      </c>
      <c r="BP18" s="26"/>
      <c r="BQ18" s="237" t="s">
        <v>150</v>
      </c>
      <c r="BR18" s="237" t="s">
        <v>150</v>
      </c>
      <c r="BS18" s="237" t="s">
        <v>150</v>
      </c>
      <c r="BT18" s="104"/>
      <c r="BU18" s="158">
        <v>6</v>
      </c>
      <c r="BV18" s="237" t="s">
        <v>150</v>
      </c>
      <c r="BW18" s="155">
        <v>8.5</v>
      </c>
      <c r="BX18" s="155" t="s">
        <v>43</v>
      </c>
      <c r="BY18" s="104"/>
      <c r="BZ18" s="237" t="s">
        <v>150</v>
      </c>
      <c r="CA18" s="157" t="s">
        <v>48</v>
      </c>
      <c r="CB18" s="155" t="s">
        <v>23</v>
      </c>
      <c r="CC18" s="136"/>
      <c r="CE18" s="69"/>
      <c r="CF18" s="20" t="s">
        <v>141</v>
      </c>
      <c r="CG18" s="105">
        <f>(IF(((SUM(AM33:AM35))=0)," ",(AVERAGE(AM33:AM35))))</f>
        <v>15.5</v>
      </c>
      <c r="CH18" s="105">
        <f>(IF(((SUM(AN33:AN35))=0)," ",(AVERAGE(AN33:AN35))))</f>
        <v>312.93348</v>
      </c>
      <c r="CI18" s="105"/>
      <c r="CJ18" s="105">
        <f>(IF(((SUM(AU33:AU35))=0)," ",(AVERAGE(AU33:AU35))))</f>
        <v>17.5</v>
      </c>
      <c r="CK18" s="105">
        <f>(IF(((SUM(AV33:AV35))=0)," ",(AVERAGE(AV33:AV35))))</f>
        <v>353.33244</v>
      </c>
      <c r="CL18" s="240"/>
      <c r="CM18" s="151">
        <f>(AVERAGE(AE30:AE36))</f>
        <v>0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4">
        <v>2441905</v>
      </c>
      <c r="D19" s="137">
        <f t="shared" si="0"/>
        <v>2.771</v>
      </c>
      <c r="E19" s="139">
        <v>4</v>
      </c>
      <c r="F19" s="140">
        <v>0.8</v>
      </c>
      <c r="G19" s="81" t="str">
        <f t="shared" si="1"/>
        <v>0.00</v>
      </c>
      <c r="H19" s="84">
        <v>0</v>
      </c>
      <c r="I19" s="85">
        <v>0</v>
      </c>
      <c r="K19" s="86" t="s">
        <v>209</v>
      </c>
      <c r="L19" s="84">
        <v>2</v>
      </c>
      <c r="M19" s="87">
        <v>0</v>
      </c>
      <c r="O19" s="106"/>
      <c r="Q19" s="107"/>
      <c r="R19" s="152"/>
      <c r="S19" s="108"/>
      <c r="U19" s="92">
        <v>7</v>
      </c>
      <c r="V19" s="93">
        <v>7</v>
      </c>
      <c r="W19" s="94">
        <v>6.4</v>
      </c>
      <c r="Y19" s="89">
        <v>12</v>
      </c>
      <c r="Z19" s="95">
        <v>11</v>
      </c>
      <c r="AA19" s="91">
        <v>8</v>
      </c>
      <c r="AC19" s="92">
        <v>7.5</v>
      </c>
      <c r="AD19" s="90">
        <v>0.1</v>
      </c>
      <c r="AE19" s="96">
        <v>0</v>
      </c>
      <c r="AG19" s="45">
        <f t="shared" si="2"/>
        <v>8</v>
      </c>
      <c r="AI19" s="97">
        <v>182</v>
      </c>
      <c r="AJ19" s="55">
        <f t="shared" si="3"/>
        <v>4206.04548</v>
      </c>
      <c r="AK19" s="97"/>
      <c r="AL19" s="55">
        <f t="shared" si="4"/>
      </c>
      <c r="AM19" s="97">
        <v>12</v>
      </c>
      <c r="AN19" s="55">
        <f t="shared" si="5"/>
        <v>277.32167999999996</v>
      </c>
      <c r="AO19" s="109">
        <v>9</v>
      </c>
      <c r="AQ19" s="99">
        <v>166</v>
      </c>
      <c r="AR19" s="55">
        <f t="shared" si="6"/>
        <v>3836.2832399999998</v>
      </c>
      <c r="AS19" s="97"/>
      <c r="AT19" s="55">
        <f t="shared" si="7"/>
      </c>
      <c r="AU19" s="97">
        <v>22</v>
      </c>
      <c r="AV19" s="55">
        <f t="shared" si="8"/>
        <v>508.42307999999997</v>
      </c>
      <c r="AX19" s="99">
        <v>66820</v>
      </c>
      <c r="AY19" s="100">
        <v>2</v>
      </c>
      <c r="AZ19" s="101">
        <v>4.25</v>
      </c>
      <c r="BA19" s="97">
        <v>37.2</v>
      </c>
      <c r="BB19" s="101">
        <v>25</v>
      </c>
      <c r="BC19" s="97">
        <v>24</v>
      </c>
      <c r="BD19" s="97"/>
      <c r="BE19" s="102"/>
      <c r="BG19" s="99">
        <v>24</v>
      </c>
      <c r="BH19" s="83" t="s">
        <v>210</v>
      </c>
      <c r="BI19" s="103" t="s">
        <v>211</v>
      </c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5"/>
      <c r="CH19" s="105"/>
      <c r="CI19" s="105"/>
      <c r="CJ19" s="105"/>
      <c r="CK19" s="105"/>
      <c r="CL19" s="240"/>
      <c r="CM19" s="151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4">
        <v>2444666</v>
      </c>
      <c r="D20" s="137">
        <f t="shared" si="0"/>
        <v>2.761</v>
      </c>
      <c r="E20" s="139">
        <v>4.2</v>
      </c>
      <c r="F20" s="140">
        <v>0.8</v>
      </c>
      <c r="G20" s="81" t="str">
        <f t="shared" si="1"/>
        <v>0.00</v>
      </c>
      <c r="H20" s="84">
        <v>0</v>
      </c>
      <c r="I20" s="85">
        <v>0</v>
      </c>
      <c r="K20" s="86" t="s">
        <v>209</v>
      </c>
      <c r="L20" s="84">
        <v>-1.5</v>
      </c>
      <c r="M20" s="87">
        <v>0</v>
      </c>
      <c r="O20" s="106"/>
      <c r="Q20" s="107"/>
      <c r="R20" s="152"/>
      <c r="S20" s="108"/>
      <c r="U20" s="92">
        <v>7.1</v>
      </c>
      <c r="V20" s="93">
        <v>7</v>
      </c>
      <c r="W20" s="94">
        <v>6.7</v>
      </c>
      <c r="Y20" s="89">
        <v>11</v>
      </c>
      <c r="Z20" s="95">
        <v>7</v>
      </c>
      <c r="AA20" s="91">
        <v>6</v>
      </c>
      <c r="AC20" s="92">
        <v>7</v>
      </c>
      <c r="AD20" s="90">
        <v>0.01</v>
      </c>
      <c r="AE20" s="96">
        <v>0</v>
      </c>
      <c r="AG20" s="45">
        <f t="shared" si="2"/>
        <v>9</v>
      </c>
      <c r="AI20" s="97">
        <v>200</v>
      </c>
      <c r="AJ20" s="55">
        <f t="shared" si="3"/>
        <v>4605.348</v>
      </c>
      <c r="AK20" s="97"/>
      <c r="AL20" s="55">
        <f t="shared" si="4"/>
      </c>
      <c r="AM20" s="97">
        <v>12</v>
      </c>
      <c r="AN20" s="55">
        <f t="shared" si="5"/>
        <v>276.32088000000005</v>
      </c>
      <c r="AO20" s="109">
        <v>8</v>
      </c>
      <c r="AQ20" s="99">
        <v>140</v>
      </c>
      <c r="AR20" s="55">
        <f t="shared" si="6"/>
        <v>3223.7436000000002</v>
      </c>
      <c r="AS20" s="97"/>
      <c r="AT20" s="55">
        <f t="shared" si="7"/>
      </c>
      <c r="AU20" s="97">
        <v>18</v>
      </c>
      <c r="AV20" s="55">
        <f t="shared" si="8"/>
        <v>414.48132</v>
      </c>
      <c r="AX20" s="99"/>
      <c r="AY20" s="100"/>
      <c r="AZ20" s="101"/>
      <c r="BA20" s="97"/>
      <c r="BB20" s="101"/>
      <c r="BC20" s="97"/>
      <c r="BD20" s="97"/>
      <c r="BE20" s="102"/>
      <c r="BG20" s="99"/>
      <c r="BH20" s="83"/>
      <c r="BI20" s="103"/>
      <c r="CE20" s="69"/>
      <c r="CF20" s="20" t="s">
        <v>142</v>
      </c>
      <c r="CG20" s="105">
        <f>(IF(((SUM(AM40:AM42))=0)," ",(AVERAGE(AM40:AM42))))</f>
        <v>15</v>
      </c>
      <c r="CH20" s="105">
        <f>(IF(((SUM(AN40:AN42))=0)," ",(AVERAGE(AN40:AN42))))</f>
        <v>292.3587</v>
      </c>
      <c r="CI20" s="105"/>
      <c r="CJ20" s="105">
        <f>(IF(((SUM(AU40:AU42))=0)," ",(AVERAGE(AU40:AU42))))</f>
        <v>15.5</v>
      </c>
      <c r="CK20" s="105">
        <f>(IF(((SUM(AV40:AV42))=0)," ",(AVERAGE(AV40:AV42))))</f>
        <v>302.39171999999996</v>
      </c>
      <c r="CL20" s="240"/>
      <c r="CM20" s="151">
        <f>(AVERAGE(AE37:AE42))</f>
        <v>0.0016666666666666668</v>
      </c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2">
        <v>2447364</v>
      </c>
      <c r="D21" s="138">
        <f t="shared" si="0"/>
        <v>2.698</v>
      </c>
      <c r="E21" s="141">
        <v>4</v>
      </c>
      <c r="F21" s="142">
        <v>0.7</v>
      </c>
      <c r="G21" s="183" t="str">
        <f t="shared" si="1"/>
        <v>0.00</v>
      </c>
      <c r="H21" s="112">
        <v>0</v>
      </c>
      <c r="I21" s="113">
        <v>0</v>
      </c>
      <c r="K21" s="114" t="s">
        <v>209</v>
      </c>
      <c r="L21" s="112">
        <v>0.5</v>
      </c>
      <c r="M21" s="115">
        <v>0</v>
      </c>
      <c r="O21" s="116"/>
      <c r="Q21" s="107"/>
      <c r="R21" s="152"/>
      <c r="S21" s="108"/>
      <c r="U21" s="117">
        <v>7.1</v>
      </c>
      <c r="V21" s="118">
        <v>7.1</v>
      </c>
      <c r="W21" s="119">
        <v>6.4</v>
      </c>
      <c r="Y21" s="120">
        <v>11</v>
      </c>
      <c r="Z21" s="121">
        <v>9</v>
      </c>
      <c r="AA21" s="122">
        <v>7</v>
      </c>
      <c r="AC21" s="117">
        <v>1.5</v>
      </c>
      <c r="AD21" s="123">
        <v>0.01</v>
      </c>
      <c r="AE21" s="124">
        <v>0</v>
      </c>
      <c r="AG21" s="45">
        <f t="shared" si="2"/>
        <v>10</v>
      </c>
      <c r="AI21" s="125"/>
      <c r="AJ21" s="65">
        <f t="shared" si="3"/>
      </c>
      <c r="AK21" s="125"/>
      <c r="AL21" s="65">
        <f t="shared" si="4"/>
      </c>
      <c r="AM21" s="125"/>
      <c r="AN21" s="65">
        <f t="shared" si="5"/>
      </c>
      <c r="AO21" s="126"/>
      <c r="AQ21" s="127"/>
      <c r="AR21" s="65">
        <f t="shared" si="6"/>
      </c>
      <c r="AS21" s="125"/>
      <c r="AT21" s="65">
        <f t="shared" si="7"/>
      </c>
      <c r="AU21" s="125"/>
      <c r="AV21" s="65">
        <f t="shared" si="8"/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4">
        <v>2450020</v>
      </c>
      <c r="D22" s="137">
        <f t="shared" si="0"/>
        <v>2.656</v>
      </c>
      <c r="E22" s="139">
        <v>3.8</v>
      </c>
      <c r="F22" s="140">
        <v>0.7</v>
      </c>
      <c r="G22" s="81" t="str">
        <f t="shared" si="1"/>
        <v>0.00</v>
      </c>
      <c r="H22" s="84">
        <v>0</v>
      </c>
      <c r="I22" s="85">
        <v>0</v>
      </c>
      <c r="K22" s="86" t="s">
        <v>209</v>
      </c>
      <c r="L22" s="84">
        <v>8</v>
      </c>
      <c r="M22" s="87">
        <v>0</v>
      </c>
      <c r="O22" s="106"/>
      <c r="Q22" s="107" t="s">
        <v>4</v>
      </c>
      <c r="R22" s="152" t="s">
        <v>4</v>
      </c>
      <c r="S22" s="108" t="s">
        <v>4</v>
      </c>
      <c r="U22" s="92">
        <v>6.9</v>
      </c>
      <c r="V22" s="93">
        <v>7.1</v>
      </c>
      <c r="W22" s="94">
        <v>6.6</v>
      </c>
      <c r="Y22" s="89">
        <v>11</v>
      </c>
      <c r="Z22" s="95">
        <v>10</v>
      </c>
      <c r="AA22" s="91">
        <v>8</v>
      </c>
      <c r="AC22" s="92">
        <v>0.7</v>
      </c>
      <c r="AD22" s="90">
        <v>0</v>
      </c>
      <c r="AE22" s="96">
        <v>0</v>
      </c>
      <c r="AG22" s="45">
        <f t="shared" si="2"/>
        <v>11</v>
      </c>
      <c r="AI22" s="97"/>
      <c r="AJ22" s="55">
        <f t="shared" si="3"/>
      </c>
      <c r="AK22" s="97"/>
      <c r="AL22" s="55">
        <f t="shared" si="4"/>
      </c>
      <c r="AM22" s="97"/>
      <c r="AN22" s="55">
        <f t="shared" si="5"/>
      </c>
      <c r="AO22" s="109"/>
      <c r="AQ22" s="99"/>
      <c r="AR22" s="55">
        <f t="shared" si="6"/>
      </c>
      <c r="AS22" s="97"/>
      <c r="AT22" s="55">
        <f t="shared" si="7"/>
      </c>
      <c r="AU22" s="97"/>
      <c r="AV22" s="55">
        <f t="shared" si="8"/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49">
        <f>(IF(((SUM(AV12:AV42))=0)," ",(AVERAGE(AV12:AV42))))</f>
        <v>408.7151723076923</v>
      </c>
      <c r="BR22" s="149">
        <f>MAX(AV12:AV42)</f>
        <v>720.0339</v>
      </c>
      <c r="BS22" s="104" t="s">
        <v>126</v>
      </c>
      <c r="BT22" s="104"/>
      <c r="BU22" s="149">
        <f>(IF(((SUM(AU12:AU42))=0)," ",(AVERAGE(AU12:AU42))))</f>
        <v>19.076923076923077</v>
      </c>
      <c r="BV22" s="143">
        <f>(CJ23)</f>
        <v>20</v>
      </c>
      <c r="BW22" s="149">
        <f>MAX(AU12:AU42)</f>
        <v>31</v>
      </c>
      <c r="BX22" s="104" t="s">
        <v>128</v>
      </c>
      <c r="BY22" s="104"/>
      <c r="BZ22" s="104">
        <v>0</v>
      </c>
      <c r="CA22" s="144" t="s">
        <v>47</v>
      </c>
      <c r="CB22" s="104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4">
        <v>2452614</v>
      </c>
      <c r="D23" s="137">
        <f t="shared" si="0"/>
        <v>2.594</v>
      </c>
      <c r="E23" s="139">
        <v>3.8</v>
      </c>
      <c r="F23" s="140">
        <v>0.6</v>
      </c>
      <c r="G23" s="81" t="str">
        <f t="shared" si="1"/>
        <v>0.00</v>
      </c>
      <c r="H23" s="84">
        <v>1000</v>
      </c>
      <c r="I23" s="85">
        <v>5000</v>
      </c>
      <c r="K23" s="86" t="s">
        <v>208</v>
      </c>
      <c r="L23" s="84">
        <v>23</v>
      </c>
      <c r="M23" s="87">
        <v>0.05</v>
      </c>
      <c r="O23" s="106"/>
      <c r="Q23" s="107"/>
      <c r="R23" s="152"/>
      <c r="S23" s="108"/>
      <c r="U23" s="92">
        <v>7.2</v>
      </c>
      <c r="V23" s="93">
        <v>7.1</v>
      </c>
      <c r="W23" s="94">
        <v>6.8</v>
      </c>
      <c r="Y23" s="89">
        <v>12</v>
      </c>
      <c r="Z23" s="95">
        <v>11</v>
      </c>
      <c r="AA23" s="91">
        <v>11</v>
      </c>
      <c r="AC23" s="92">
        <v>4.5</v>
      </c>
      <c r="AD23" s="90">
        <v>0</v>
      </c>
      <c r="AE23" s="96">
        <v>0</v>
      </c>
      <c r="AG23" s="45">
        <f t="shared" si="2"/>
        <v>12</v>
      </c>
      <c r="AI23" s="97"/>
      <c r="AJ23" s="55">
        <f t="shared" si="3"/>
      </c>
      <c r="AK23" s="97"/>
      <c r="AL23" s="55">
        <f t="shared" si="4"/>
      </c>
      <c r="AM23" s="97"/>
      <c r="AN23" s="55">
        <f t="shared" si="5"/>
      </c>
      <c r="AO23" s="109"/>
      <c r="AQ23" s="99"/>
      <c r="AR23" s="55">
        <f t="shared" si="6"/>
      </c>
      <c r="AS23" s="97"/>
      <c r="AT23" s="55">
        <f t="shared" si="7"/>
      </c>
      <c r="AU23" s="97"/>
      <c r="AV23" s="55">
        <f t="shared" si="8"/>
      </c>
      <c r="AX23" s="99">
        <v>55101</v>
      </c>
      <c r="AY23" s="100">
        <v>2</v>
      </c>
      <c r="AZ23" s="101">
        <v>6.5</v>
      </c>
      <c r="BA23" s="97">
        <v>34.1</v>
      </c>
      <c r="BB23" s="101">
        <v>25</v>
      </c>
      <c r="BC23" s="97">
        <v>12</v>
      </c>
      <c r="BD23" s="97"/>
      <c r="BE23" s="102"/>
      <c r="BG23" s="99">
        <v>12</v>
      </c>
      <c r="BH23" s="83" t="s">
        <v>210</v>
      </c>
      <c r="BI23" s="103" t="s">
        <v>211</v>
      </c>
      <c r="BK23" s="17"/>
      <c r="BL23" s="19"/>
      <c r="BM23" s="26" t="s">
        <v>86</v>
      </c>
      <c r="BN23" s="20"/>
      <c r="BO23" s="153" t="s">
        <v>131</v>
      </c>
      <c r="BP23" s="26"/>
      <c r="BQ23" s="236">
        <v>963</v>
      </c>
      <c r="BR23" s="236">
        <v>1605</v>
      </c>
      <c r="BS23" s="155" t="s">
        <v>126</v>
      </c>
      <c r="BT23" s="104"/>
      <c r="BU23" s="236">
        <v>30</v>
      </c>
      <c r="BV23" s="156">
        <v>45</v>
      </c>
      <c r="BW23" s="236">
        <v>50</v>
      </c>
      <c r="BX23" s="155" t="s">
        <v>128</v>
      </c>
      <c r="BY23" s="104"/>
      <c r="BZ23" s="237" t="s">
        <v>150</v>
      </c>
      <c r="CA23" s="157" t="s">
        <v>47</v>
      </c>
      <c r="CB23" s="155">
        <v>24</v>
      </c>
      <c r="CC23" s="136"/>
      <c r="CE23" s="69"/>
      <c r="CF23" s="72" t="s">
        <v>53</v>
      </c>
      <c r="CG23" s="149">
        <f>(IF(((SUM(CG12:CG20))=0)," ",(MAX(CG12:CG20))))</f>
        <v>20</v>
      </c>
      <c r="CH23" s="149">
        <f>(IF(((SUM(CH12:CH20))=0)," ",(MAX(CH12:CH20))))</f>
        <v>513</v>
      </c>
      <c r="CI23" s="185"/>
      <c r="CJ23" s="149">
        <f>(IF(((SUM(CJ12:CJ20))=0)," ",(MAX(CJ12:CJ20))))</f>
        <v>20</v>
      </c>
      <c r="CK23" s="149">
        <f>(IF(((SUM(CK12:CK20))=0)," ",(MAX(CK12:CK20))))</f>
        <v>463</v>
      </c>
      <c r="CL23" s="71"/>
      <c r="CM23" s="277">
        <f>(MAX(CM12:CM20))</f>
        <v>0.0025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4">
        <v>2455208</v>
      </c>
      <c r="D24" s="137">
        <f t="shared" si="0"/>
        <v>2.594</v>
      </c>
      <c r="E24" s="139">
        <v>3.8</v>
      </c>
      <c r="F24" s="140">
        <v>0.7</v>
      </c>
      <c r="G24" s="81" t="str">
        <f t="shared" si="1"/>
        <v>0.00</v>
      </c>
      <c r="H24" s="84">
        <v>4400</v>
      </c>
      <c r="I24" s="85">
        <v>6000</v>
      </c>
      <c r="K24" s="86" t="s">
        <v>208</v>
      </c>
      <c r="L24" s="84">
        <v>20</v>
      </c>
      <c r="M24" s="87">
        <v>0.01</v>
      </c>
      <c r="O24" s="106"/>
      <c r="Q24" s="107" t="s">
        <v>10</v>
      </c>
      <c r="R24" s="152" t="s">
        <v>10</v>
      </c>
      <c r="S24" s="108" t="s">
        <v>10</v>
      </c>
      <c r="U24" s="92">
        <v>7.1</v>
      </c>
      <c r="V24" s="93">
        <v>6.8</v>
      </c>
      <c r="W24" s="94">
        <v>6.5</v>
      </c>
      <c r="Y24" s="89">
        <v>12</v>
      </c>
      <c r="Z24" s="95">
        <v>11</v>
      </c>
      <c r="AA24" s="91">
        <v>11</v>
      </c>
      <c r="AC24" s="92">
        <v>3.5</v>
      </c>
      <c r="AD24" s="90">
        <v>0.1</v>
      </c>
      <c r="AE24" s="96">
        <v>0</v>
      </c>
      <c r="AG24" s="45">
        <f t="shared" si="2"/>
        <v>13</v>
      </c>
      <c r="AI24" s="97"/>
      <c r="AJ24" s="55">
        <f t="shared" si="3"/>
      </c>
      <c r="AK24" s="97"/>
      <c r="AL24" s="55">
        <f t="shared" si="4"/>
      </c>
      <c r="AM24" s="97"/>
      <c r="AN24" s="55">
        <f t="shared" si="5"/>
      </c>
      <c r="AO24" s="109"/>
      <c r="AQ24" s="99"/>
      <c r="AR24" s="55">
        <f t="shared" si="6"/>
      </c>
      <c r="AS24" s="97"/>
      <c r="AT24" s="55">
        <f t="shared" si="7"/>
      </c>
      <c r="AU24" s="97"/>
      <c r="AV24" s="55">
        <f t="shared" si="8"/>
      </c>
      <c r="AX24" s="99">
        <v>26041</v>
      </c>
      <c r="AY24" s="100">
        <v>4</v>
      </c>
      <c r="AZ24" s="101">
        <v>3.5</v>
      </c>
      <c r="BA24" s="97">
        <v>18.6</v>
      </c>
      <c r="BB24" s="101">
        <v>26</v>
      </c>
      <c r="BC24" s="97">
        <v>12</v>
      </c>
      <c r="BD24" s="97"/>
      <c r="BE24" s="102"/>
      <c r="BG24" s="99">
        <v>12</v>
      </c>
      <c r="BH24" s="83" t="s">
        <v>210</v>
      </c>
      <c r="BI24" s="103" t="s">
        <v>211</v>
      </c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4">
        <v>2457803</v>
      </c>
      <c r="D25" s="137">
        <f t="shared" si="0"/>
        <v>2.595</v>
      </c>
      <c r="E25" s="139">
        <v>4</v>
      </c>
      <c r="F25" s="140">
        <v>0.6</v>
      </c>
      <c r="G25" s="81" t="str">
        <f t="shared" si="1"/>
        <v>0.00</v>
      </c>
      <c r="H25" s="84">
        <v>0</v>
      </c>
      <c r="I25" s="85">
        <v>0</v>
      </c>
      <c r="K25" s="86" t="s">
        <v>209</v>
      </c>
      <c r="L25" s="84">
        <v>-6</v>
      </c>
      <c r="M25" s="87">
        <v>0</v>
      </c>
      <c r="O25" s="106"/>
      <c r="Q25" s="107"/>
      <c r="R25" s="152"/>
      <c r="S25" s="108"/>
      <c r="U25" s="92">
        <v>7.3</v>
      </c>
      <c r="V25" s="93">
        <v>7.2</v>
      </c>
      <c r="W25" s="94">
        <v>6.5</v>
      </c>
      <c r="Y25" s="89">
        <v>13</v>
      </c>
      <c r="Z25" s="95">
        <v>11</v>
      </c>
      <c r="AA25" s="91">
        <v>8</v>
      </c>
      <c r="AC25" s="92">
        <v>6.5</v>
      </c>
      <c r="AD25" s="90">
        <v>0.01</v>
      </c>
      <c r="AE25" s="96">
        <v>0</v>
      </c>
      <c r="AG25" s="45">
        <f t="shared" si="2"/>
        <v>14</v>
      </c>
      <c r="AI25" s="97">
        <v>249</v>
      </c>
      <c r="AJ25" s="55">
        <f t="shared" si="3"/>
        <v>5388.9327</v>
      </c>
      <c r="AK25" s="97"/>
      <c r="AL25" s="55">
        <f t="shared" si="4"/>
      </c>
      <c r="AM25" s="97">
        <v>16</v>
      </c>
      <c r="AN25" s="55">
        <f t="shared" si="5"/>
        <v>346.27680000000004</v>
      </c>
      <c r="AO25" s="109">
        <v>12</v>
      </c>
      <c r="AQ25" s="99">
        <v>268</v>
      </c>
      <c r="AR25" s="55">
        <f t="shared" si="6"/>
        <v>5800.1364</v>
      </c>
      <c r="AS25" s="97"/>
      <c r="AT25" s="55">
        <f t="shared" si="7"/>
      </c>
      <c r="AU25" s="97">
        <v>21</v>
      </c>
      <c r="AV25" s="55">
        <f t="shared" si="8"/>
        <v>454.48830000000004</v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2">
        <v>2460387</v>
      </c>
      <c r="D26" s="138">
        <f t="shared" si="0"/>
        <v>2.584</v>
      </c>
      <c r="E26" s="141">
        <v>3.8</v>
      </c>
      <c r="F26" s="142">
        <v>0.8</v>
      </c>
      <c r="G26" s="183" t="str">
        <f t="shared" si="1"/>
        <v>0.00</v>
      </c>
      <c r="H26" s="112">
        <v>4000</v>
      </c>
      <c r="I26" s="113">
        <v>3000</v>
      </c>
      <c r="K26" s="114" t="s">
        <v>209</v>
      </c>
      <c r="L26" s="112">
        <v>-6</v>
      </c>
      <c r="M26" s="115">
        <v>0.01</v>
      </c>
      <c r="O26" s="116"/>
      <c r="Q26" s="107" t="s">
        <v>11</v>
      </c>
      <c r="R26" s="152" t="s">
        <v>11</v>
      </c>
      <c r="S26" s="108" t="s">
        <v>11</v>
      </c>
      <c r="U26" s="117">
        <v>7.3</v>
      </c>
      <c r="V26" s="118">
        <v>7.1</v>
      </c>
      <c r="W26" s="119">
        <v>6.4</v>
      </c>
      <c r="Y26" s="120">
        <v>11</v>
      </c>
      <c r="Z26" s="121">
        <v>10</v>
      </c>
      <c r="AA26" s="122">
        <v>7</v>
      </c>
      <c r="AC26" s="117">
        <v>5</v>
      </c>
      <c r="AD26" s="123">
        <v>0.1</v>
      </c>
      <c r="AE26" s="124">
        <v>0</v>
      </c>
      <c r="AG26" s="45">
        <f t="shared" si="2"/>
        <v>15</v>
      </c>
      <c r="AI26" s="125">
        <v>234</v>
      </c>
      <c r="AJ26" s="65">
        <f t="shared" si="3"/>
        <v>5042.83104</v>
      </c>
      <c r="AK26" s="125"/>
      <c r="AL26" s="65">
        <f t="shared" si="4"/>
      </c>
      <c r="AM26" s="125">
        <v>14</v>
      </c>
      <c r="AN26" s="65">
        <f t="shared" si="5"/>
        <v>301.70784000000003</v>
      </c>
      <c r="AO26" s="126">
        <v>11</v>
      </c>
      <c r="AQ26" s="127">
        <v>190</v>
      </c>
      <c r="AR26" s="65">
        <f t="shared" si="6"/>
        <v>4094.6064</v>
      </c>
      <c r="AS26" s="125"/>
      <c r="AT26" s="65">
        <f t="shared" si="7"/>
      </c>
      <c r="AU26" s="125">
        <v>16</v>
      </c>
      <c r="AV26" s="65">
        <f t="shared" si="8"/>
        <v>344.80896</v>
      </c>
      <c r="AX26" s="127"/>
      <c r="AY26" s="128"/>
      <c r="AZ26" s="129"/>
      <c r="BA26" s="125"/>
      <c r="BB26" s="129"/>
      <c r="BC26" s="125"/>
      <c r="BD26" s="125"/>
      <c r="BE26" s="130"/>
      <c r="BG26" s="127"/>
      <c r="BH26" s="110"/>
      <c r="BI26" s="131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4">
        <v>2462953</v>
      </c>
      <c r="D27" s="137">
        <f t="shared" si="0"/>
        <v>2.566</v>
      </c>
      <c r="E27" s="139">
        <v>3.8</v>
      </c>
      <c r="F27" s="140">
        <v>0.7</v>
      </c>
      <c r="G27" s="81" t="str">
        <f t="shared" si="1"/>
        <v>0.00</v>
      </c>
      <c r="H27" s="84">
        <v>1000</v>
      </c>
      <c r="I27" s="85">
        <v>2000</v>
      </c>
      <c r="K27" s="86" t="s">
        <v>209</v>
      </c>
      <c r="L27" s="84">
        <v>3</v>
      </c>
      <c r="M27" s="87">
        <v>0</v>
      </c>
      <c r="O27" s="106"/>
      <c r="Q27" s="107"/>
      <c r="R27" s="152"/>
      <c r="S27" s="108"/>
      <c r="U27" s="92">
        <v>7.3</v>
      </c>
      <c r="V27" s="93">
        <v>7.1</v>
      </c>
      <c r="W27" s="94">
        <v>6.2</v>
      </c>
      <c r="Y27" s="89">
        <v>11</v>
      </c>
      <c r="Z27" s="95">
        <v>9</v>
      </c>
      <c r="AA27" s="91">
        <v>8</v>
      </c>
      <c r="AC27" s="92">
        <v>3.5</v>
      </c>
      <c r="AD27" s="90">
        <v>0.01</v>
      </c>
      <c r="AE27" s="96">
        <v>0</v>
      </c>
      <c r="AG27" s="45">
        <f t="shared" si="2"/>
        <v>16</v>
      </c>
      <c r="AI27" s="97">
        <v>230</v>
      </c>
      <c r="AJ27" s="55">
        <f t="shared" si="3"/>
        <v>4922.101199999999</v>
      </c>
      <c r="AK27" s="97"/>
      <c r="AL27" s="55">
        <f t="shared" si="4"/>
      </c>
      <c r="AM27" s="97">
        <v>12</v>
      </c>
      <c r="AN27" s="55">
        <f t="shared" si="5"/>
        <v>256.80528</v>
      </c>
      <c r="AO27" s="109">
        <v>8</v>
      </c>
      <c r="AQ27" s="99">
        <v>198</v>
      </c>
      <c r="AR27" s="55">
        <f t="shared" si="6"/>
        <v>4237.28712</v>
      </c>
      <c r="AS27" s="97"/>
      <c r="AT27" s="55">
        <f t="shared" si="7"/>
      </c>
      <c r="AU27" s="97">
        <v>14</v>
      </c>
      <c r="AV27" s="55">
        <f t="shared" si="8"/>
        <v>299.60616</v>
      </c>
      <c r="AX27" s="99">
        <v>38125</v>
      </c>
      <c r="AY27" s="100">
        <v>2</v>
      </c>
      <c r="AZ27" s="101">
        <v>4.5</v>
      </c>
      <c r="BA27" s="97">
        <v>21.7</v>
      </c>
      <c r="BB27" s="101">
        <v>26</v>
      </c>
      <c r="BC27" s="97">
        <v>12</v>
      </c>
      <c r="BD27" s="97"/>
      <c r="BE27" s="102"/>
      <c r="BG27" s="99">
        <v>12</v>
      </c>
      <c r="BH27" s="83" t="s">
        <v>210</v>
      </c>
      <c r="BI27" s="103" t="s">
        <v>211</v>
      </c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4">
        <v>2465494</v>
      </c>
      <c r="D28" s="137">
        <f t="shared" si="0"/>
        <v>2.541</v>
      </c>
      <c r="E28" s="139">
        <v>3.8</v>
      </c>
      <c r="F28" s="140">
        <v>0.6</v>
      </c>
      <c r="G28" s="81" t="str">
        <f t="shared" si="1"/>
        <v>0.00</v>
      </c>
      <c r="H28" s="84">
        <v>0</v>
      </c>
      <c r="I28" s="85">
        <v>0</v>
      </c>
      <c r="K28" s="86" t="s">
        <v>209</v>
      </c>
      <c r="L28" s="84">
        <v>23</v>
      </c>
      <c r="M28" s="87">
        <v>0</v>
      </c>
      <c r="O28" s="106"/>
      <c r="Q28" s="107"/>
      <c r="R28" s="152"/>
      <c r="S28" s="108"/>
      <c r="U28" s="92">
        <v>7.3</v>
      </c>
      <c r="V28" s="93">
        <v>7.2</v>
      </c>
      <c r="W28" s="94">
        <v>6.3</v>
      </c>
      <c r="Y28" s="89">
        <v>11</v>
      </c>
      <c r="Z28" s="95">
        <v>10</v>
      </c>
      <c r="AA28" s="91">
        <v>9</v>
      </c>
      <c r="AC28" s="92">
        <v>7.5</v>
      </c>
      <c r="AD28" s="90">
        <v>0.01</v>
      </c>
      <c r="AE28" s="96">
        <v>0</v>
      </c>
      <c r="AG28" s="45">
        <f t="shared" si="2"/>
        <v>17</v>
      </c>
      <c r="AI28" s="97"/>
      <c r="AJ28" s="55">
        <f t="shared" si="3"/>
      </c>
      <c r="AK28" s="97"/>
      <c r="AL28" s="55">
        <f t="shared" si="4"/>
      </c>
      <c r="AM28" s="97"/>
      <c r="AN28" s="55">
        <f t="shared" si="5"/>
      </c>
      <c r="AO28" s="109"/>
      <c r="AQ28" s="99"/>
      <c r="AR28" s="55">
        <f t="shared" si="6"/>
      </c>
      <c r="AS28" s="97"/>
      <c r="AT28" s="55">
        <f t="shared" si="7"/>
      </c>
      <c r="AU28" s="97"/>
      <c r="AV28" s="55">
        <f t="shared" si="8"/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38" t="s">
        <v>150</v>
      </c>
      <c r="BR28" s="238" t="s">
        <v>150</v>
      </c>
      <c r="BS28" s="238" t="s">
        <v>150</v>
      </c>
      <c r="BT28" s="238"/>
      <c r="BU28" s="238" t="s">
        <v>150</v>
      </c>
      <c r="BV28" s="146">
        <f>(CM23)</f>
        <v>0.0025</v>
      </c>
      <c r="BW28" s="146">
        <f>MAX(AE12:AE42)</f>
        <v>0.01</v>
      </c>
      <c r="BX28" s="104" t="s">
        <v>128</v>
      </c>
      <c r="BY28" s="104"/>
      <c r="BZ28" s="104">
        <v>0</v>
      </c>
      <c r="CA28" s="144" t="s">
        <v>48</v>
      </c>
      <c r="CB28" s="104" t="s">
        <v>23</v>
      </c>
      <c r="CC28" s="136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4">
        <v>2467958</v>
      </c>
      <c r="D29" s="137">
        <f t="shared" si="0"/>
        <v>2.464</v>
      </c>
      <c r="E29" s="139">
        <v>3.8</v>
      </c>
      <c r="F29" s="140">
        <v>0.6</v>
      </c>
      <c r="G29" s="81" t="str">
        <f t="shared" si="1"/>
        <v>0.00</v>
      </c>
      <c r="H29" s="84">
        <v>0</v>
      </c>
      <c r="I29" s="85">
        <v>0</v>
      </c>
      <c r="K29" s="86" t="s">
        <v>209</v>
      </c>
      <c r="L29" s="84">
        <v>23</v>
      </c>
      <c r="M29" s="87">
        <v>0</v>
      </c>
      <c r="O29" s="106"/>
      <c r="Q29" s="107"/>
      <c r="R29" s="152"/>
      <c r="S29" s="108"/>
      <c r="U29" s="92">
        <v>7</v>
      </c>
      <c r="V29" s="93">
        <v>7.2</v>
      </c>
      <c r="W29" s="94">
        <v>6.7</v>
      </c>
      <c r="Y29" s="89">
        <v>11</v>
      </c>
      <c r="Z29" s="95">
        <v>11</v>
      </c>
      <c r="AA29" s="91">
        <v>10</v>
      </c>
      <c r="AC29" s="92">
        <v>2</v>
      </c>
      <c r="AD29" s="90">
        <v>0.01</v>
      </c>
      <c r="AE29" s="96">
        <v>0</v>
      </c>
      <c r="AG29" s="45">
        <f t="shared" si="2"/>
        <v>18</v>
      </c>
      <c r="AI29" s="97"/>
      <c r="AJ29" s="55">
        <f t="shared" si="3"/>
      </c>
      <c r="AK29" s="97"/>
      <c r="AL29" s="55">
        <f t="shared" si="4"/>
      </c>
      <c r="AM29" s="97"/>
      <c r="AN29" s="55">
        <f t="shared" si="5"/>
      </c>
      <c r="AO29" s="109"/>
      <c r="AQ29" s="99"/>
      <c r="AR29" s="55">
        <f t="shared" si="6"/>
      </c>
      <c r="AS29" s="97"/>
      <c r="AT29" s="55">
        <f t="shared" si="7"/>
      </c>
      <c r="AU29" s="97"/>
      <c r="AV29" s="55">
        <f t="shared" si="8"/>
      </c>
      <c r="AX29" s="99"/>
      <c r="AY29" s="100"/>
      <c r="AZ29" s="101"/>
      <c r="BA29" s="97"/>
      <c r="BB29" s="101"/>
      <c r="BC29" s="97"/>
      <c r="BD29" s="97"/>
      <c r="BE29" s="102"/>
      <c r="BG29" s="99"/>
      <c r="BH29" s="83"/>
      <c r="BI29" s="103"/>
      <c r="BK29" s="17"/>
      <c r="BL29" s="19"/>
      <c r="BM29" s="26" t="s">
        <v>86</v>
      </c>
      <c r="BN29" s="20"/>
      <c r="BO29" s="153" t="s">
        <v>131</v>
      </c>
      <c r="BP29" s="26"/>
      <c r="BQ29" s="237" t="s">
        <v>150</v>
      </c>
      <c r="BR29" s="237" t="s">
        <v>150</v>
      </c>
      <c r="BS29" s="237" t="s">
        <v>150</v>
      </c>
      <c r="BT29" s="238"/>
      <c r="BU29" s="237" t="s">
        <v>150</v>
      </c>
      <c r="BV29" s="155" t="s">
        <v>146</v>
      </c>
      <c r="BW29" s="155">
        <v>0.3</v>
      </c>
      <c r="BX29" s="155" t="s">
        <v>128</v>
      </c>
      <c r="BY29" s="104"/>
      <c r="BZ29" s="237" t="s">
        <v>150</v>
      </c>
      <c r="CA29" s="157" t="s">
        <v>48</v>
      </c>
      <c r="CB29" s="155" t="s">
        <v>23</v>
      </c>
      <c r="CC29" s="136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4">
        <v>2470286</v>
      </c>
      <c r="D30" s="137">
        <f t="shared" si="0"/>
        <v>2.328</v>
      </c>
      <c r="E30" s="139">
        <v>3.8</v>
      </c>
      <c r="F30" s="140">
        <v>0.6</v>
      </c>
      <c r="G30" s="81" t="str">
        <f t="shared" si="1"/>
        <v>0.00</v>
      </c>
      <c r="H30" s="84">
        <v>1200</v>
      </c>
      <c r="I30" s="85">
        <v>1000</v>
      </c>
      <c r="K30" s="86" t="s">
        <v>209</v>
      </c>
      <c r="L30" s="84">
        <v>18</v>
      </c>
      <c r="M30" s="87">
        <v>0</v>
      </c>
      <c r="O30" s="106"/>
      <c r="Q30" s="107" t="s">
        <v>12</v>
      </c>
      <c r="R30" s="152" t="s">
        <v>12</v>
      </c>
      <c r="S30" s="108" t="s">
        <v>12</v>
      </c>
      <c r="U30" s="92">
        <v>7.1</v>
      </c>
      <c r="V30" s="93">
        <v>7.2</v>
      </c>
      <c r="W30" s="94">
        <v>6.6</v>
      </c>
      <c r="Y30" s="89">
        <v>10</v>
      </c>
      <c r="Z30" s="95">
        <v>10</v>
      </c>
      <c r="AA30" s="91">
        <v>10</v>
      </c>
      <c r="AC30" s="92">
        <v>1.5</v>
      </c>
      <c r="AD30" s="90">
        <v>0.1</v>
      </c>
      <c r="AE30" s="96">
        <v>0</v>
      </c>
      <c r="AG30" s="45">
        <f t="shared" si="2"/>
        <v>19</v>
      </c>
      <c r="AI30" s="97"/>
      <c r="AJ30" s="55">
        <f t="shared" si="3"/>
      </c>
      <c r="AK30" s="97"/>
      <c r="AL30" s="55">
        <f t="shared" si="4"/>
      </c>
      <c r="AM30" s="97"/>
      <c r="AN30" s="55">
        <f t="shared" si="5"/>
      </c>
      <c r="AO30" s="109"/>
      <c r="AQ30" s="99"/>
      <c r="AR30" s="55">
        <f t="shared" si="6"/>
      </c>
      <c r="AS30" s="97"/>
      <c r="AT30" s="55">
        <f t="shared" si="7"/>
      </c>
      <c r="AU30" s="97"/>
      <c r="AV30" s="55">
        <f t="shared" si="8"/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2">
        <v>2472771</v>
      </c>
      <c r="D31" s="138">
        <f t="shared" si="0"/>
        <v>2.485</v>
      </c>
      <c r="E31" s="141">
        <v>3.6</v>
      </c>
      <c r="F31" s="142">
        <v>0.6</v>
      </c>
      <c r="G31" s="183" t="str">
        <f t="shared" si="1"/>
        <v>0.00</v>
      </c>
      <c r="H31" s="112">
        <v>5150</v>
      </c>
      <c r="I31" s="113">
        <v>2250</v>
      </c>
      <c r="K31" s="114" t="s">
        <v>209</v>
      </c>
      <c r="L31" s="112">
        <v>19</v>
      </c>
      <c r="M31" s="115">
        <v>0</v>
      </c>
      <c r="O31" s="116"/>
      <c r="Q31" s="107"/>
      <c r="R31" s="152"/>
      <c r="S31" s="108"/>
      <c r="U31" s="117">
        <v>7.2</v>
      </c>
      <c r="V31" s="118">
        <v>7.1</v>
      </c>
      <c r="W31" s="119">
        <v>6.7</v>
      </c>
      <c r="Y31" s="120">
        <v>11</v>
      </c>
      <c r="Z31" s="121">
        <v>10</v>
      </c>
      <c r="AA31" s="122">
        <v>10</v>
      </c>
      <c r="AC31" s="117">
        <v>5</v>
      </c>
      <c r="AD31" s="123">
        <v>0.01</v>
      </c>
      <c r="AE31" s="124">
        <v>0</v>
      </c>
      <c r="AG31" s="45">
        <f t="shared" si="2"/>
        <v>20</v>
      </c>
      <c r="AI31" s="125"/>
      <c r="AJ31" s="65">
        <f t="shared" si="3"/>
      </c>
      <c r="AK31" s="125"/>
      <c r="AL31" s="65">
        <f t="shared" si="4"/>
      </c>
      <c r="AM31" s="125"/>
      <c r="AN31" s="65">
        <f t="shared" si="5"/>
      </c>
      <c r="AO31" s="126"/>
      <c r="AQ31" s="127"/>
      <c r="AR31" s="65">
        <f t="shared" si="6"/>
      </c>
      <c r="AS31" s="125"/>
      <c r="AT31" s="65">
        <f t="shared" si="7"/>
      </c>
      <c r="AU31" s="125"/>
      <c r="AV31" s="65">
        <f t="shared" si="8"/>
      </c>
      <c r="AX31" s="127">
        <v>67299</v>
      </c>
      <c r="AY31" s="128">
        <v>2</v>
      </c>
      <c r="AZ31" s="129">
        <v>8.5</v>
      </c>
      <c r="BA31" s="125">
        <v>40.3</v>
      </c>
      <c r="BB31" s="129">
        <v>26</v>
      </c>
      <c r="BC31" s="125">
        <v>24</v>
      </c>
      <c r="BD31" s="125"/>
      <c r="BE31" s="130"/>
      <c r="BG31" s="127">
        <v>24</v>
      </c>
      <c r="BH31" s="110" t="s">
        <v>210</v>
      </c>
      <c r="BI31" s="131" t="s">
        <v>211</v>
      </c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4">
        <v>2475183</v>
      </c>
      <c r="D32" s="137">
        <f t="shared" si="0"/>
        <v>2.412</v>
      </c>
      <c r="E32" s="139">
        <v>4.1</v>
      </c>
      <c r="F32" s="140">
        <v>0.6</v>
      </c>
      <c r="G32" s="81" t="str">
        <f t="shared" si="1"/>
        <v>0.00</v>
      </c>
      <c r="H32" s="84">
        <v>0</v>
      </c>
      <c r="I32" s="85">
        <v>4250</v>
      </c>
      <c r="K32" s="86" t="s">
        <v>209</v>
      </c>
      <c r="L32" s="84">
        <v>17</v>
      </c>
      <c r="M32" s="87">
        <v>0</v>
      </c>
      <c r="O32" s="106"/>
      <c r="Q32" s="107" t="s">
        <v>13</v>
      </c>
      <c r="R32" s="152" t="s">
        <v>13</v>
      </c>
      <c r="S32" s="108" t="s">
        <v>13</v>
      </c>
      <c r="U32" s="92">
        <v>7.3</v>
      </c>
      <c r="V32" s="93">
        <v>7.2</v>
      </c>
      <c r="W32" s="94">
        <v>6.6</v>
      </c>
      <c r="Y32" s="89">
        <v>11</v>
      </c>
      <c r="Z32" s="95">
        <v>10</v>
      </c>
      <c r="AA32" s="91">
        <v>10</v>
      </c>
      <c r="AC32" s="92">
        <v>6</v>
      </c>
      <c r="AD32" s="90">
        <v>0.01</v>
      </c>
      <c r="AE32" s="96">
        <v>0</v>
      </c>
      <c r="AG32" s="45">
        <f t="shared" si="2"/>
        <v>21</v>
      </c>
      <c r="AI32" s="97">
        <v>228</v>
      </c>
      <c r="AJ32" s="55">
        <f t="shared" si="3"/>
        <v>4586.466240000001</v>
      </c>
      <c r="AK32" s="97"/>
      <c r="AL32" s="55">
        <f t="shared" si="4"/>
      </c>
      <c r="AM32" s="97">
        <v>17</v>
      </c>
      <c r="AN32" s="55">
        <f t="shared" si="5"/>
        <v>341.97335999999996</v>
      </c>
      <c r="AO32" s="109">
        <v>12</v>
      </c>
      <c r="AQ32" s="99">
        <v>170</v>
      </c>
      <c r="AR32" s="55">
        <f t="shared" si="6"/>
        <v>3419.7335999999996</v>
      </c>
      <c r="AS32" s="97"/>
      <c r="AT32" s="55">
        <f t="shared" si="7"/>
      </c>
      <c r="AU32" s="97">
        <v>20</v>
      </c>
      <c r="AV32" s="55">
        <f t="shared" si="8"/>
        <v>402.32159999999993</v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4">
        <v>2477643</v>
      </c>
      <c r="D33" s="137">
        <f t="shared" si="0"/>
        <v>2.46</v>
      </c>
      <c r="E33" s="139">
        <v>4</v>
      </c>
      <c r="F33" s="140">
        <v>0.6</v>
      </c>
      <c r="G33" s="81" t="str">
        <f t="shared" si="1"/>
        <v>0.00</v>
      </c>
      <c r="H33" s="84">
        <v>3800</v>
      </c>
      <c r="I33" s="85">
        <v>5000</v>
      </c>
      <c r="K33" s="86" t="s">
        <v>209</v>
      </c>
      <c r="L33" s="84">
        <v>20</v>
      </c>
      <c r="M33" s="87">
        <v>0</v>
      </c>
      <c r="O33" s="106"/>
      <c r="Q33" s="107"/>
      <c r="R33" s="152"/>
      <c r="S33" s="108"/>
      <c r="U33" s="92">
        <v>7.2</v>
      </c>
      <c r="V33" s="93">
        <v>7.2</v>
      </c>
      <c r="W33" s="94">
        <v>6.5</v>
      </c>
      <c r="Y33" s="89">
        <v>11</v>
      </c>
      <c r="Z33" s="95">
        <v>10</v>
      </c>
      <c r="AA33" s="91">
        <v>10</v>
      </c>
      <c r="AC33" s="92">
        <v>5</v>
      </c>
      <c r="AD33" s="90">
        <v>0.1</v>
      </c>
      <c r="AE33" s="96">
        <v>0</v>
      </c>
      <c r="AG33" s="45">
        <f t="shared" si="2"/>
        <v>22</v>
      </c>
      <c r="AI33" s="97">
        <v>251</v>
      </c>
      <c r="AJ33" s="55">
        <f t="shared" si="3"/>
        <v>5149.6164</v>
      </c>
      <c r="AK33" s="97"/>
      <c r="AL33" s="55">
        <f t="shared" si="4"/>
      </c>
      <c r="AM33" s="97">
        <v>15</v>
      </c>
      <c r="AN33" s="55">
        <f t="shared" si="5"/>
        <v>307.746</v>
      </c>
      <c r="AO33" s="109">
        <v>11</v>
      </c>
      <c r="AQ33" s="99">
        <v>230</v>
      </c>
      <c r="AR33" s="55">
        <f t="shared" si="6"/>
        <v>4718.772</v>
      </c>
      <c r="AS33" s="97"/>
      <c r="AT33" s="55">
        <f t="shared" si="7"/>
      </c>
      <c r="AU33" s="97">
        <v>17</v>
      </c>
      <c r="AV33" s="55">
        <f t="shared" si="8"/>
        <v>348.7788</v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147">
        <f>(D47)</f>
        <v>2.5750322580645166</v>
      </c>
      <c r="BR33" s="147">
        <f>(D45)</f>
        <v>3.075</v>
      </c>
      <c r="BS33" s="104" t="s">
        <v>127</v>
      </c>
      <c r="BT33" s="104"/>
      <c r="BU33" s="238" t="s">
        <v>150</v>
      </c>
      <c r="BV33" s="238" t="s">
        <v>150</v>
      </c>
      <c r="BW33" s="238" t="s">
        <v>150</v>
      </c>
      <c r="BX33" s="238" t="s">
        <v>150</v>
      </c>
      <c r="BY33" s="104"/>
      <c r="BZ33" s="104">
        <v>0</v>
      </c>
      <c r="CA33" s="148" t="s">
        <v>24</v>
      </c>
      <c r="CB33" s="104" t="s">
        <v>25</v>
      </c>
      <c r="CC33" s="136"/>
      <c r="CJ33" s="338" t="s">
        <v>17</v>
      </c>
      <c r="CK33" s="340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4">
        <v>2480027</v>
      </c>
      <c r="D34" s="137">
        <f t="shared" si="0"/>
        <v>2.384</v>
      </c>
      <c r="E34" s="139">
        <v>3.7</v>
      </c>
      <c r="F34" s="140">
        <v>0.6</v>
      </c>
      <c r="G34" s="81" t="str">
        <f t="shared" si="1"/>
        <v>0.00</v>
      </c>
      <c r="H34" s="84">
        <v>2300</v>
      </c>
      <c r="I34" s="85">
        <v>3250</v>
      </c>
      <c r="K34" s="86" t="s">
        <v>209</v>
      </c>
      <c r="L34" s="84">
        <v>12</v>
      </c>
      <c r="M34" s="87">
        <v>0</v>
      </c>
      <c r="O34" s="106"/>
      <c r="Q34" s="107" t="s">
        <v>14</v>
      </c>
      <c r="R34" s="152" t="s">
        <v>14</v>
      </c>
      <c r="S34" s="108" t="s">
        <v>14</v>
      </c>
      <c r="U34" s="92">
        <v>7.1</v>
      </c>
      <c r="V34" s="93">
        <v>7.1</v>
      </c>
      <c r="W34" s="94">
        <v>6.1</v>
      </c>
      <c r="Y34" s="89">
        <v>11</v>
      </c>
      <c r="Z34" s="95">
        <v>10</v>
      </c>
      <c r="AA34" s="91">
        <v>9</v>
      </c>
      <c r="AC34" s="92">
        <v>3</v>
      </c>
      <c r="AD34" s="90">
        <v>0.01</v>
      </c>
      <c r="AE34" s="96">
        <v>0</v>
      </c>
      <c r="AG34" s="45">
        <f t="shared" si="2"/>
        <v>23</v>
      </c>
      <c r="AI34" s="97">
        <v>275</v>
      </c>
      <c r="AJ34" s="55">
        <f t="shared" si="3"/>
        <v>5467.704</v>
      </c>
      <c r="AK34" s="97">
        <v>162</v>
      </c>
      <c r="AL34" s="55">
        <f t="shared" si="4"/>
        <v>3220.9747199999997</v>
      </c>
      <c r="AM34" s="97">
        <v>16</v>
      </c>
      <c r="AN34" s="55">
        <f t="shared" si="5"/>
        <v>318.12095999999997</v>
      </c>
      <c r="AO34" s="109">
        <v>13</v>
      </c>
      <c r="AQ34" s="99">
        <v>292</v>
      </c>
      <c r="AR34" s="55">
        <f t="shared" si="6"/>
        <v>5805.707519999999</v>
      </c>
      <c r="AS34" s="97">
        <v>83</v>
      </c>
      <c r="AT34" s="55">
        <f t="shared" si="7"/>
        <v>1650.2524799999999</v>
      </c>
      <c r="AU34" s="97">
        <v>18</v>
      </c>
      <c r="AV34" s="55">
        <f t="shared" si="8"/>
        <v>357.88608</v>
      </c>
      <c r="AX34" s="99">
        <v>34984</v>
      </c>
      <c r="AY34" s="100">
        <v>2</v>
      </c>
      <c r="AZ34" s="101">
        <v>2.25</v>
      </c>
      <c r="BA34" s="97">
        <v>21.7</v>
      </c>
      <c r="BB34" s="101">
        <v>27</v>
      </c>
      <c r="BC34" s="97">
        <v>12</v>
      </c>
      <c r="BD34" s="97"/>
      <c r="BE34" s="102"/>
      <c r="BG34" s="99">
        <v>12</v>
      </c>
      <c r="BH34" s="83" t="s">
        <v>210</v>
      </c>
      <c r="BI34" s="103" t="s">
        <v>211</v>
      </c>
      <c r="BK34" s="17"/>
      <c r="BL34" s="19"/>
      <c r="BM34" s="26" t="s">
        <v>86</v>
      </c>
      <c r="BN34" s="20"/>
      <c r="BO34" s="153" t="s">
        <v>131</v>
      </c>
      <c r="BP34" s="26"/>
      <c r="BQ34" s="159">
        <v>3.85</v>
      </c>
      <c r="BR34" s="155" t="s">
        <v>146</v>
      </c>
      <c r="BS34" s="155" t="s">
        <v>127</v>
      </c>
      <c r="BT34" s="104"/>
      <c r="BU34" s="237" t="s">
        <v>150</v>
      </c>
      <c r="BV34" s="237" t="s">
        <v>150</v>
      </c>
      <c r="BW34" s="237" t="s">
        <v>150</v>
      </c>
      <c r="BX34" s="237" t="s">
        <v>150</v>
      </c>
      <c r="BY34" s="104"/>
      <c r="BZ34" s="237" t="s">
        <v>150</v>
      </c>
      <c r="CA34" s="160" t="s">
        <v>24</v>
      </c>
      <c r="CB34" s="155" t="s">
        <v>25</v>
      </c>
      <c r="CC34" s="136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4">
        <v>2482389</v>
      </c>
      <c r="D35" s="137">
        <f t="shared" si="0"/>
        <v>2.362</v>
      </c>
      <c r="E35" s="139">
        <v>3.8</v>
      </c>
      <c r="F35" s="140">
        <v>0.6</v>
      </c>
      <c r="G35" s="81" t="str">
        <f t="shared" si="1"/>
        <v>0.00</v>
      </c>
      <c r="H35" s="84">
        <v>0</v>
      </c>
      <c r="I35" s="85">
        <v>0</v>
      </c>
      <c r="K35" s="86" t="s">
        <v>208</v>
      </c>
      <c r="L35" s="84">
        <v>3</v>
      </c>
      <c r="M35" s="87">
        <v>0</v>
      </c>
      <c r="O35" s="106"/>
      <c r="Q35" s="107"/>
      <c r="R35" s="152"/>
      <c r="S35" s="108"/>
      <c r="U35" s="92">
        <v>7.3</v>
      </c>
      <c r="V35" s="93">
        <v>7.2</v>
      </c>
      <c r="W35" s="94">
        <v>6.2</v>
      </c>
      <c r="Y35" s="89">
        <v>11</v>
      </c>
      <c r="Z35" s="95">
        <v>10</v>
      </c>
      <c r="AA35" s="91">
        <v>7</v>
      </c>
      <c r="AC35" s="92">
        <v>4</v>
      </c>
      <c r="AD35" s="90">
        <v>0.01</v>
      </c>
      <c r="AE35" s="96">
        <v>0</v>
      </c>
      <c r="AG35" s="45">
        <f t="shared" si="2"/>
        <v>24</v>
      </c>
      <c r="AI35" s="97"/>
      <c r="AJ35" s="55">
        <f t="shared" si="3"/>
      </c>
      <c r="AK35" s="97"/>
      <c r="AL35" s="55">
        <f t="shared" si="4"/>
      </c>
      <c r="AM35" s="97"/>
      <c r="AN35" s="55">
        <f t="shared" si="5"/>
      </c>
      <c r="AO35" s="109"/>
      <c r="AQ35" s="99"/>
      <c r="AR35" s="55">
        <f t="shared" si="6"/>
      </c>
      <c r="AS35" s="97"/>
      <c r="AT35" s="55">
        <f t="shared" si="7"/>
      </c>
      <c r="AU35" s="97"/>
      <c r="AV35" s="55">
        <f t="shared" si="8"/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2">
        <v>2484758</v>
      </c>
      <c r="D36" s="138">
        <f t="shared" si="0"/>
        <v>2.369</v>
      </c>
      <c r="E36" s="141">
        <v>4</v>
      </c>
      <c r="F36" s="142">
        <v>0.6</v>
      </c>
      <c r="G36" s="183" t="str">
        <f t="shared" si="1"/>
        <v>0.00</v>
      </c>
      <c r="H36" s="112">
        <v>0</v>
      </c>
      <c r="I36" s="113">
        <v>0</v>
      </c>
      <c r="K36" s="114" t="s">
        <v>208</v>
      </c>
      <c r="L36" s="112">
        <v>0.2</v>
      </c>
      <c r="M36" s="115">
        <v>0</v>
      </c>
      <c r="O36" s="116"/>
      <c r="Q36" s="107" t="s">
        <v>12</v>
      </c>
      <c r="R36" s="152" t="s">
        <v>12</v>
      </c>
      <c r="S36" s="108" t="s">
        <v>12</v>
      </c>
      <c r="U36" s="117">
        <v>7.1</v>
      </c>
      <c r="V36" s="118">
        <v>7.2</v>
      </c>
      <c r="W36" s="119">
        <v>6.4</v>
      </c>
      <c r="Y36" s="120">
        <v>11</v>
      </c>
      <c r="Z36" s="121">
        <v>7</v>
      </c>
      <c r="AA36" s="122">
        <v>7</v>
      </c>
      <c r="AC36" s="117">
        <v>1.5</v>
      </c>
      <c r="AD36" s="123">
        <v>0</v>
      </c>
      <c r="AE36" s="124">
        <v>0</v>
      </c>
      <c r="AG36" s="45">
        <f t="shared" si="2"/>
        <v>25</v>
      </c>
      <c r="AI36" s="125"/>
      <c r="AJ36" s="65">
        <f t="shared" si="3"/>
      </c>
      <c r="AK36" s="125"/>
      <c r="AL36" s="65">
        <f t="shared" si="4"/>
      </c>
      <c r="AM36" s="125"/>
      <c r="AN36" s="65">
        <f t="shared" si="5"/>
      </c>
      <c r="AO36" s="126"/>
      <c r="AQ36" s="127"/>
      <c r="AR36" s="65">
        <f t="shared" si="6"/>
      </c>
      <c r="AS36" s="125"/>
      <c r="AT36" s="65">
        <f t="shared" si="7"/>
      </c>
      <c r="AU36" s="125"/>
      <c r="AV36" s="65">
        <f t="shared" si="8"/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4">
        <v>2487110</v>
      </c>
      <c r="D37" s="137">
        <f t="shared" si="0"/>
        <v>2.352</v>
      </c>
      <c r="E37" s="139">
        <v>3.8</v>
      </c>
      <c r="F37" s="140">
        <v>0.6</v>
      </c>
      <c r="G37" s="81" t="str">
        <f t="shared" si="1"/>
        <v>0.00</v>
      </c>
      <c r="H37" s="84">
        <v>0</v>
      </c>
      <c r="I37" s="85">
        <v>3000</v>
      </c>
      <c r="K37" s="86" t="s">
        <v>209</v>
      </c>
      <c r="L37" s="84">
        <v>5</v>
      </c>
      <c r="M37" s="87">
        <v>0</v>
      </c>
      <c r="O37" s="106"/>
      <c r="Q37" s="107"/>
      <c r="R37" s="152"/>
      <c r="S37" s="108"/>
      <c r="U37" s="92">
        <v>7.5</v>
      </c>
      <c r="V37" s="93">
        <v>7.2</v>
      </c>
      <c r="W37" s="94">
        <v>6.6</v>
      </c>
      <c r="Y37" s="89">
        <v>11</v>
      </c>
      <c r="Z37" s="95">
        <v>10</v>
      </c>
      <c r="AA37" s="91">
        <v>9</v>
      </c>
      <c r="AC37" s="92">
        <v>10</v>
      </c>
      <c r="AD37" s="90">
        <v>0.01</v>
      </c>
      <c r="AE37" s="96">
        <v>0</v>
      </c>
      <c r="AG37" s="45">
        <f t="shared" si="2"/>
        <v>26</v>
      </c>
      <c r="AI37" s="97"/>
      <c r="AJ37" s="55">
        <f t="shared" si="3"/>
      </c>
      <c r="AK37" s="97"/>
      <c r="AL37" s="55">
        <f t="shared" si="4"/>
      </c>
      <c r="AM37" s="97"/>
      <c r="AN37" s="55">
        <f t="shared" si="5"/>
      </c>
      <c r="AO37" s="109"/>
      <c r="AQ37" s="99"/>
      <c r="AR37" s="55">
        <f t="shared" si="6"/>
      </c>
      <c r="AS37" s="97"/>
      <c r="AT37" s="55">
        <f t="shared" si="7"/>
      </c>
      <c r="AU37" s="97"/>
      <c r="AV37" s="55">
        <f t="shared" si="8"/>
      </c>
      <c r="AX37" s="99">
        <v>37157</v>
      </c>
      <c r="AY37" s="100">
        <v>3</v>
      </c>
      <c r="AZ37" s="101">
        <v>2.5</v>
      </c>
      <c r="BA37" s="97">
        <v>24.8</v>
      </c>
      <c r="BB37" s="101">
        <v>28</v>
      </c>
      <c r="BC37" s="97">
        <v>12</v>
      </c>
      <c r="BD37" s="97"/>
      <c r="BE37" s="102"/>
      <c r="BG37" s="99">
        <v>12</v>
      </c>
      <c r="BH37" s="83" t="s">
        <v>212</v>
      </c>
      <c r="BI37" s="103" t="s">
        <v>211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4">
        <f>(IF(((SUM(AJ12:AJ42))=0)," ",(((AJ47-(D47*AO47*8.346))/AJ47)*100)))</f>
        <v>95.28228437961317</v>
      </c>
      <c r="CK37" s="345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4">
        <v>2489467</v>
      </c>
      <c r="D38" s="137">
        <f t="shared" si="0"/>
        <v>2.357</v>
      </c>
      <c r="E38" s="139">
        <v>4</v>
      </c>
      <c r="F38" s="140">
        <v>0.6</v>
      </c>
      <c r="G38" s="81" t="str">
        <f t="shared" si="1"/>
        <v>0.00</v>
      </c>
      <c r="H38" s="84">
        <v>0</v>
      </c>
      <c r="I38" s="85">
        <v>2000</v>
      </c>
      <c r="K38" s="86" t="s">
        <v>209</v>
      </c>
      <c r="L38" s="84">
        <v>14</v>
      </c>
      <c r="M38" s="87">
        <v>0</v>
      </c>
      <c r="O38" s="106"/>
      <c r="Q38" s="107" t="s">
        <v>10</v>
      </c>
      <c r="R38" s="152" t="s">
        <v>10</v>
      </c>
      <c r="S38" s="108" t="s">
        <v>10</v>
      </c>
      <c r="U38" s="92">
        <v>7.3</v>
      </c>
      <c r="V38" s="93">
        <v>7.3</v>
      </c>
      <c r="W38" s="94">
        <v>6.3</v>
      </c>
      <c r="Y38" s="89">
        <v>10</v>
      </c>
      <c r="Z38" s="95">
        <v>10</v>
      </c>
      <c r="AA38" s="91">
        <v>9</v>
      </c>
      <c r="AC38" s="92">
        <v>3.5</v>
      </c>
      <c r="AD38" s="90">
        <v>0.1</v>
      </c>
      <c r="AE38" s="96">
        <v>0.01</v>
      </c>
      <c r="AG38" s="45">
        <f t="shared" si="2"/>
        <v>27</v>
      </c>
      <c r="AI38" s="97"/>
      <c r="AJ38" s="55">
        <f t="shared" si="3"/>
      </c>
      <c r="AK38" s="97"/>
      <c r="AL38" s="55">
        <f t="shared" si="4"/>
      </c>
      <c r="AM38" s="97"/>
      <c r="AN38" s="55">
        <f t="shared" si="5"/>
      </c>
      <c r="AO38" s="109"/>
      <c r="AQ38" s="99"/>
      <c r="AR38" s="55">
        <f t="shared" si="6"/>
      </c>
      <c r="AS38" s="97"/>
      <c r="AT38" s="55">
        <f t="shared" si="7"/>
      </c>
      <c r="AU38" s="97"/>
      <c r="AV38" s="55">
        <f t="shared" si="8"/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38" t="s">
        <v>150</v>
      </c>
      <c r="BR38" s="238" t="s">
        <v>150</v>
      </c>
      <c r="BS38" s="238" t="s">
        <v>150</v>
      </c>
      <c r="BT38" s="104"/>
      <c r="BU38" s="145">
        <f>(AN49)</f>
        <v>93.55843851089763</v>
      </c>
      <c r="BV38" s="238" t="s">
        <v>150</v>
      </c>
      <c r="BW38" s="238" t="s">
        <v>150</v>
      </c>
      <c r="BX38" s="104" t="s">
        <v>129</v>
      </c>
      <c r="BY38" s="104"/>
      <c r="BZ38" s="104">
        <v>0</v>
      </c>
      <c r="CA38" s="144" t="s">
        <v>49</v>
      </c>
      <c r="CB38" s="104" t="s">
        <v>26</v>
      </c>
      <c r="CC38" s="136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4">
        <v>2491813</v>
      </c>
      <c r="D39" s="137">
        <f t="shared" si="0"/>
        <v>2.346</v>
      </c>
      <c r="E39" s="139">
        <v>4.6</v>
      </c>
      <c r="F39" s="140">
        <v>0.6</v>
      </c>
      <c r="G39" s="81" t="str">
        <f t="shared" si="1"/>
        <v>0.00</v>
      </c>
      <c r="H39" s="84">
        <v>0</v>
      </c>
      <c r="I39" s="85">
        <v>4000</v>
      </c>
      <c r="K39" s="86" t="s">
        <v>208</v>
      </c>
      <c r="L39" s="84">
        <v>17</v>
      </c>
      <c r="M39" s="87">
        <v>0</v>
      </c>
      <c r="O39" s="106"/>
      <c r="Q39" s="107"/>
      <c r="R39" s="152"/>
      <c r="S39" s="108"/>
      <c r="U39" s="92">
        <v>7.1</v>
      </c>
      <c r="V39" s="93">
        <v>7.2</v>
      </c>
      <c r="W39" s="94">
        <v>6.1</v>
      </c>
      <c r="Y39" s="89">
        <v>11</v>
      </c>
      <c r="Z39" s="95">
        <v>10</v>
      </c>
      <c r="AA39" s="91">
        <v>10</v>
      </c>
      <c r="AC39" s="92">
        <v>4</v>
      </c>
      <c r="AD39" s="90">
        <v>0</v>
      </c>
      <c r="AE39" s="96">
        <v>0</v>
      </c>
      <c r="AG39" s="45">
        <f t="shared" si="2"/>
        <v>28</v>
      </c>
      <c r="AI39" s="97">
        <v>245</v>
      </c>
      <c r="AJ39" s="55">
        <f t="shared" si="3"/>
        <v>4793.5818</v>
      </c>
      <c r="AK39" s="97"/>
      <c r="AL39" s="55">
        <f t="shared" si="4"/>
      </c>
      <c r="AM39" s="97">
        <v>18</v>
      </c>
      <c r="AN39" s="55">
        <f t="shared" si="5"/>
        <v>352.18152000000003</v>
      </c>
      <c r="AO39" s="109">
        <v>13</v>
      </c>
      <c r="AQ39" s="99">
        <v>188</v>
      </c>
      <c r="AR39" s="55">
        <f t="shared" si="6"/>
        <v>3678.34032</v>
      </c>
      <c r="AS39" s="97"/>
      <c r="AT39" s="55">
        <f t="shared" si="7"/>
      </c>
      <c r="AU39" s="97">
        <v>22</v>
      </c>
      <c r="AV39" s="55">
        <f t="shared" si="8"/>
        <v>430.44408</v>
      </c>
      <c r="AX39" s="99"/>
      <c r="AY39" s="100"/>
      <c r="AZ39" s="101"/>
      <c r="BA39" s="97"/>
      <c r="BB39" s="101"/>
      <c r="BC39" s="97"/>
      <c r="BD39" s="97"/>
      <c r="BE39" s="102"/>
      <c r="BG39" s="99"/>
      <c r="BH39" s="83"/>
      <c r="BI39" s="103"/>
      <c r="BK39" s="17"/>
      <c r="BL39" s="19"/>
      <c r="BM39" s="26" t="s">
        <v>118</v>
      </c>
      <c r="BN39" s="20"/>
      <c r="BO39" s="153" t="s">
        <v>131</v>
      </c>
      <c r="BP39" s="26"/>
      <c r="BQ39" s="237" t="s">
        <v>150</v>
      </c>
      <c r="BR39" s="237" t="s">
        <v>150</v>
      </c>
      <c r="BS39" s="237" t="s">
        <v>150</v>
      </c>
      <c r="BT39" s="104"/>
      <c r="BU39" s="158">
        <v>85</v>
      </c>
      <c r="BV39" s="237" t="s">
        <v>150</v>
      </c>
      <c r="BW39" s="237" t="s">
        <v>150</v>
      </c>
      <c r="BX39" s="155" t="s">
        <v>129</v>
      </c>
      <c r="BY39" s="104"/>
      <c r="BZ39" s="237" t="s">
        <v>150</v>
      </c>
      <c r="CA39" s="157" t="s">
        <v>49</v>
      </c>
      <c r="CB39" s="155" t="s">
        <v>26</v>
      </c>
      <c r="CC39" s="136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3">
        <v>29</v>
      </c>
      <c r="C40" s="84">
        <v>2494173</v>
      </c>
      <c r="D40" s="137">
        <f t="shared" si="0"/>
        <v>2.36</v>
      </c>
      <c r="E40" s="139">
        <v>3.8</v>
      </c>
      <c r="F40" s="140">
        <v>0.6</v>
      </c>
      <c r="G40" s="81" t="str">
        <f t="shared" si="1"/>
        <v>0.00</v>
      </c>
      <c r="H40" s="84">
        <v>500</v>
      </c>
      <c r="I40" s="85">
        <v>5250</v>
      </c>
      <c r="K40" s="86" t="s">
        <v>208</v>
      </c>
      <c r="L40" s="84">
        <v>22</v>
      </c>
      <c r="M40" s="87">
        <v>0</v>
      </c>
      <c r="O40" s="106"/>
      <c r="Q40" s="107" t="s">
        <v>15</v>
      </c>
      <c r="R40" s="152" t="s">
        <v>15</v>
      </c>
      <c r="S40" s="108" t="s">
        <v>15</v>
      </c>
      <c r="U40" s="92">
        <v>7.4</v>
      </c>
      <c r="V40" s="93">
        <v>7.2</v>
      </c>
      <c r="W40" s="94">
        <v>7.6</v>
      </c>
      <c r="Y40" s="89">
        <v>11</v>
      </c>
      <c r="Z40" s="95">
        <v>10</v>
      </c>
      <c r="AA40" s="91">
        <v>11</v>
      </c>
      <c r="AC40" s="92">
        <v>7</v>
      </c>
      <c r="AD40" s="90">
        <v>0.01</v>
      </c>
      <c r="AE40" s="96">
        <v>0</v>
      </c>
      <c r="AG40" s="45">
        <f t="shared" si="2"/>
        <v>29</v>
      </c>
      <c r="AI40" s="97">
        <v>238</v>
      </c>
      <c r="AJ40" s="55">
        <f t="shared" si="3"/>
        <v>4684.4112</v>
      </c>
      <c r="AK40" s="97"/>
      <c r="AL40" s="55">
        <f t="shared" si="4"/>
      </c>
      <c r="AM40" s="97">
        <v>15</v>
      </c>
      <c r="AN40" s="55">
        <f t="shared" si="5"/>
        <v>295.236</v>
      </c>
      <c r="AO40" s="109">
        <v>11</v>
      </c>
      <c r="AQ40" s="99">
        <v>164</v>
      </c>
      <c r="AR40" s="55">
        <f t="shared" si="6"/>
        <v>3227.9136</v>
      </c>
      <c r="AS40" s="97"/>
      <c r="AT40" s="55">
        <f t="shared" si="7"/>
      </c>
      <c r="AU40" s="97">
        <v>17</v>
      </c>
      <c r="AV40" s="55">
        <f t="shared" si="8"/>
        <v>334.6008</v>
      </c>
      <c r="AX40" s="99">
        <v>33806</v>
      </c>
      <c r="AY40" s="100">
        <v>2</v>
      </c>
      <c r="AZ40" s="101">
        <v>3.25</v>
      </c>
      <c r="BA40" s="97">
        <v>52.7</v>
      </c>
      <c r="BB40" s="101">
        <v>28</v>
      </c>
      <c r="BC40" s="97">
        <v>12</v>
      </c>
      <c r="BD40" s="97"/>
      <c r="BE40" s="102"/>
      <c r="BG40" s="99">
        <v>12</v>
      </c>
      <c r="BH40" s="83" t="s">
        <v>210</v>
      </c>
      <c r="BI40" s="103" t="s">
        <v>211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3">
        <v>30</v>
      </c>
      <c r="C41" s="84">
        <v>2496487</v>
      </c>
      <c r="D41" s="137">
        <f t="shared" si="0"/>
        <v>2.314</v>
      </c>
      <c r="E41" s="139">
        <v>3.9</v>
      </c>
      <c r="F41" s="140">
        <v>0.6</v>
      </c>
      <c r="G41" s="81" t="str">
        <f t="shared" si="1"/>
        <v>0.00</v>
      </c>
      <c r="H41" s="84">
        <v>4550</v>
      </c>
      <c r="I41" s="85">
        <v>9250</v>
      </c>
      <c r="K41" s="86" t="s">
        <v>209</v>
      </c>
      <c r="L41" s="84">
        <v>16</v>
      </c>
      <c r="M41" s="87">
        <v>0</v>
      </c>
      <c r="O41" s="106"/>
      <c r="Q41" s="107"/>
      <c r="R41" s="152"/>
      <c r="S41" s="108"/>
      <c r="U41" s="92">
        <v>7.5</v>
      </c>
      <c r="V41" s="93">
        <v>7.2</v>
      </c>
      <c r="W41" s="94">
        <v>6.1</v>
      </c>
      <c r="Y41" s="89">
        <v>11</v>
      </c>
      <c r="Z41" s="95">
        <v>10</v>
      </c>
      <c r="AA41" s="91">
        <v>9</v>
      </c>
      <c r="AC41" s="92">
        <v>10.5</v>
      </c>
      <c r="AD41" s="90">
        <v>0.1</v>
      </c>
      <c r="AE41" s="96">
        <v>0</v>
      </c>
      <c r="AG41" s="45">
        <f t="shared" si="2"/>
        <v>30</v>
      </c>
      <c r="AI41" s="97">
        <v>265</v>
      </c>
      <c r="AJ41" s="55">
        <f t="shared" si="3"/>
        <v>5114.1714</v>
      </c>
      <c r="AK41" s="97">
        <v>173</v>
      </c>
      <c r="AL41" s="55">
        <f t="shared" si="4"/>
        <v>3338.68548</v>
      </c>
      <c r="AM41" s="97">
        <v>15</v>
      </c>
      <c r="AN41" s="55">
        <f t="shared" si="5"/>
        <v>289.4814</v>
      </c>
      <c r="AO41" s="109">
        <v>11</v>
      </c>
      <c r="AQ41" s="99">
        <v>236</v>
      </c>
      <c r="AR41" s="55">
        <f t="shared" si="6"/>
        <v>4554.5073600000005</v>
      </c>
      <c r="AS41" s="97">
        <v>89</v>
      </c>
      <c r="AT41" s="55">
        <f t="shared" si="7"/>
        <v>1717.58964</v>
      </c>
      <c r="AU41" s="97">
        <v>14</v>
      </c>
      <c r="AV41" s="55">
        <f t="shared" si="8"/>
        <v>270.18264</v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3">
        <v>31</v>
      </c>
      <c r="C42" s="112">
        <v>2498820</v>
      </c>
      <c r="D42" s="138">
        <f t="shared" si="0"/>
        <v>2.333</v>
      </c>
      <c r="E42" s="141">
        <v>3.8</v>
      </c>
      <c r="F42" s="142">
        <v>0.6</v>
      </c>
      <c r="G42" s="183" t="str">
        <f t="shared" si="1"/>
        <v>0.00</v>
      </c>
      <c r="H42" s="112">
        <v>0</v>
      </c>
      <c r="I42" s="113">
        <v>4000</v>
      </c>
      <c r="K42" s="114" t="s">
        <v>209</v>
      </c>
      <c r="L42" s="112">
        <v>12</v>
      </c>
      <c r="M42" s="115">
        <v>0</v>
      </c>
      <c r="O42" s="116"/>
      <c r="Q42" s="132"/>
      <c r="R42" s="111"/>
      <c r="S42" s="113"/>
      <c r="U42" s="133">
        <v>7.2</v>
      </c>
      <c r="V42" s="134">
        <v>7.2</v>
      </c>
      <c r="W42" s="135">
        <v>6.7</v>
      </c>
      <c r="Y42" s="132">
        <v>10</v>
      </c>
      <c r="Z42" s="112">
        <v>10</v>
      </c>
      <c r="AA42" s="113">
        <v>10</v>
      </c>
      <c r="AC42" s="133">
        <v>5.5</v>
      </c>
      <c r="AD42" s="111">
        <v>0.01</v>
      </c>
      <c r="AE42" s="115">
        <v>0</v>
      </c>
      <c r="AG42" s="45">
        <f t="shared" si="2"/>
        <v>31</v>
      </c>
      <c r="AI42" s="125"/>
      <c r="AJ42" s="65">
        <f t="shared" si="3"/>
      </c>
      <c r="AK42" s="125"/>
      <c r="AL42" s="65">
        <f t="shared" si="4"/>
      </c>
      <c r="AM42" s="125"/>
      <c r="AN42" s="65">
        <f t="shared" si="5"/>
      </c>
      <c r="AO42" s="126"/>
      <c r="AQ42" s="127"/>
      <c r="AR42" s="65">
        <f t="shared" si="6"/>
      </c>
      <c r="AS42" s="125"/>
      <c r="AT42" s="65">
        <f t="shared" si="7"/>
      </c>
      <c r="AU42" s="125"/>
      <c r="AV42" s="65">
        <f t="shared" si="8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8" t="s">
        <v>150</v>
      </c>
      <c r="BR43" s="238" t="s">
        <v>150</v>
      </c>
      <c r="BS43" s="238" t="s">
        <v>150</v>
      </c>
      <c r="BT43" s="104"/>
      <c r="BU43" s="145">
        <f>(AU49)</f>
        <v>90.27450980392157</v>
      </c>
      <c r="BV43" s="238" t="s">
        <v>150</v>
      </c>
      <c r="BW43" s="238" t="s">
        <v>150</v>
      </c>
      <c r="BX43" s="104" t="s">
        <v>129</v>
      </c>
      <c r="BY43" s="104"/>
      <c r="BZ43" s="104">
        <v>0</v>
      </c>
      <c r="CA43" s="144" t="s">
        <v>49</v>
      </c>
      <c r="CB43" s="104" t="s">
        <v>26</v>
      </c>
      <c r="CC43" s="136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8">
        <f>(IF(((SUM(C12:C42))=0)," ",((MAX(C12:C42))-C11)))</f>
        <v>79826</v>
      </c>
      <c r="D44" s="227">
        <f>(IF(((SUM(D12:D42))=0)," ",(SUM(D12:D42))))</f>
        <v>79.82600000000002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33200</v>
      </c>
      <c r="I44" s="195">
        <f>(IF(((SUM(I12:I42))=0)," ",(SUM(I12:I42))))</f>
        <v>64000</v>
      </c>
      <c r="K44" s="199" t="s">
        <v>150</v>
      </c>
      <c r="L44" s="200" t="s">
        <v>150</v>
      </c>
      <c r="M44" s="201">
        <f>(IF(((SUM(M12:M42))=0)," ",(SUM(M11:M42))))</f>
        <v>0.27</v>
      </c>
      <c r="O44" s="202" t="str">
        <f>(IF(((SUM(O12:O42))=0),"0.0",(SUM(O11:O42))))</f>
        <v>0.0</v>
      </c>
      <c r="Q44" s="198" t="str">
        <f>(IF(((SUM(Q12:Q42))=0),"0",(SUM(Q11:Q42))))</f>
        <v>0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457542</v>
      </c>
      <c r="AY44" s="200" t="s">
        <v>150</v>
      </c>
      <c r="AZ44" s="211">
        <f>(IF(((SUM(AZ12:AZ42))=0)," ",(SUM(AZ12:AZ42))))</f>
        <v>42.25</v>
      </c>
      <c r="BA44" s="198">
        <f>(IF(((SUM(BA12:BA42))=0)," ",(SUM(BA12:BA42))))</f>
        <v>306.9</v>
      </c>
      <c r="BB44" s="206" t="s">
        <v>150</v>
      </c>
      <c r="BC44" s="198">
        <f>(IF(((SUM(BC12:BC42))=0)," ",(SUM(BC12:BC42))))</f>
        <v>156</v>
      </c>
      <c r="BD44" s="188" t="str">
        <f>(IF(((SUM(BD12:BD42))=0)," ",(SUM(BD12:BD42))))</f>
        <v> </v>
      </c>
      <c r="BE44" s="209" t="s">
        <v>150</v>
      </c>
      <c r="BG44" s="212">
        <f>(IF(((SUM(BG12:BG42))=0)," ",(SUM(BG12:BG42))))</f>
        <v>156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37" t="s">
        <v>150</v>
      </c>
      <c r="BR44" s="237" t="s">
        <v>150</v>
      </c>
      <c r="BS44" s="237" t="s">
        <v>150</v>
      </c>
      <c r="BT44" s="104"/>
      <c r="BU44" s="158">
        <v>85</v>
      </c>
      <c r="BV44" s="237" t="s">
        <v>150</v>
      </c>
      <c r="BW44" s="237" t="s">
        <v>150</v>
      </c>
      <c r="BX44" s="155" t="s">
        <v>129</v>
      </c>
      <c r="BY44" s="104"/>
      <c r="BZ44" s="237" t="s">
        <v>150</v>
      </c>
      <c r="CA44" s="157" t="s">
        <v>49</v>
      </c>
      <c r="CB44" s="155" t="s">
        <v>26</v>
      </c>
      <c r="CC44" s="136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8" t="s">
        <v>150</v>
      </c>
      <c r="D45" s="216">
        <f aca="true" t="shared" si="9" ref="D45:I45">(IF((SUM(D12:D42))=0," ",(MAX(D12:D42))))</f>
        <v>3.075</v>
      </c>
      <c r="E45" s="215">
        <f t="shared" si="9"/>
        <v>4.6</v>
      </c>
      <c r="F45" s="216">
        <f t="shared" si="9"/>
        <v>1.4</v>
      </c>
      <c r="G45" s="215">
        <f>(MAX(G12:G42))</f>
        <v>0</v>
      </c>
      <c r="H45" s="161">
        <f t="shared" si="9"/>
        <v>5150</v>
      </c>
      <c r="I45" s="162">
        <f t="shared" si="9"/>
        <v>9250</v>
      </c>
      <c r="K45" s="179" t="s">
        <v>150</v>
      </c>
      <c r="L45" s="182">
        <f>(IF((SUM(L12:L42))=0," ",(MAX(L12:L42))))</f>
        <v>35</v>
      </c>
      <c r="M45" s="218">
        <f>(IF((SUM(M12:M42))=0," ",(MAX(M12:M42))))</f>
        <v>0.12</v>
      </c>
      <c r="O45" s="219" t="s">
        <v>150</v>
      </c>
      <c r="Q45" s="220" t="s">
        <v>150</v>
      </c>
      <c r="R45" s="232" t="str">
        <f>(IF(((SUM(R12:R42))=0),"-",(MAX(R12:R42))))</f>
        <v>-</v>
      </c>
      <c r="S45" s="233" t="str">
        <f>(IF(((SUM(S12:S42))=0),"-",(MAX(S12:S42))))</f>
        <v>-</v>
      </c>
      <c r="U45" s="221">
        <f>(IF((SUM(U12:U42))=0," ",(MAX(U12:U42))))</f>
        <v>7.5</v>
      </c>
      <c r="V45" s="182">
        <f>(IF((SUM(V12:V42))=0," ",(MAX(V12:V42))))</f>
        <v>7.3</v>
      </c>
      <c r="W45" s="222">
        <f>(IF((SUM(W12:W42))=0," ",(MAX(W12:W42))))</f>
        <v>7.6</v>
      </c>
      <c r="Y45" s="217">
        <f>(IF((SUM(Y12:Y42))=0," ",(MAX(Y12:Y42))))</f>
        <v>13</v>
      </c>
      <c r="Z45" s="161">
        <f>(IF((SUM(Z12:Z42))=0," ",(MAX(Z12:Z42))))</f>
        <v>11</v>
      </c>
      <c r="AA45" s="162">
        <f>(IF((SUM(AA12:AA42))=0," ",(MAX(AA12:AA42))))</f>
        <v>12</v>
      </c>
      <c r="AC45" s="221">
        <f>(IF((SUM(AC12:AC42))=0," ",(MAX(AC12:AC42))))</f>
        <v>10.5</v>
      </c>
      <c r="AD45" s="183">
        <f>(IF((SUM(AD12:AD42))=0," ",(MAX(AD12:AD42))))</f>
        <v>0.4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10" ref="AI45:AO45">(IF((SUM(AI12:AI42))=0," ",(MAX(AI12:AI42))))</f>
        <v>275</v>
      </c>
      <c r="AJ45" s="161">
        <f t="shared" si="10"/>
        <v>5467.704</v>
      </c>
      <c r="AK45" s="217">
        <f t="shared" si="10"/>
        <v>173</v>
      </c>
      <c r="AL45" s="162">
        <f t="shared" si="10"/>
        <v>3338.68548</v>
      </c>
      <c r="AM45" s="217">
        <f t="shared" si="10"/>
        <v>18</v>
      </c>
      <c r="AN45" s="162">
        <f t="shared" si="10"/>
        <v>352.18152000000003</v>
      </c>
      <c r="AO45" s="223">
        <f t="shared" si="10"/>
        <v>13</v>
      </c>
      <c r="AQ45" s="217">
        <f aca="true" t="shared" si="11" ref="AQ45:AV45">(IF((SUM(AQ12:AQ42))=0," ",(MAX(AQ12:AQ42))))</f>
        <v>292</v>
      </c>
      <c r="AR45" s="162">
        <f t="shared" si="11"/>
        <v>5805.707519999999</v>
      </c>
      <c r="AS45" s="217">
        <f t="shared" si="11"/>
        <v>89</v>
      </c>
      <c r="AT45" s="162">
        <f t="shared" si="11"/>
        <v>1717.58964</v>
      </c>
      <c r="AU45" s="217">
        <f t="shared" si="11"/>
        <v>31</v>
      </c>
      <c r="AV45" s="162">
        <f t="shared" si="11"/>
        <v>720.0339</v>
      </c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28</v>
      </c>
      <c r="BC45" s="220" t="s">
        <v>150</v>
      </c>
      <c r="BD45" s="178" t="s">
        <v>150</v>
      </c>
      <c r="BE45" s="218" t="str">
        <f>(IF((SUM(BE12:BE42))=0," ",(MAX(BE12:BE42))))</f>
        <v> </v>
      </c>
      <c r="BG45" s="225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8" t="s">
        <v>150</v>
      </c>
      <c r="D46" s="227">
        <f aca="true" t="shared" si="12" ref="D46:I46">(IF((SUM(D12:D42))=0," ",(MIN(D12:D42))))</f>
        <v>2.314</v>
      </c>
      <c r="E46" s="226">
        <f t="shared" si="12"/>
        <v>3.6</v>
      </c>
      <c r="F46" s="227">
        <f t="shared" si="12"/>
        <v>0.6</v>
      </c>
      <c r="G46" s="226">
        <f>(MIN(G12:G42))</f>
        <v>0</v>
      </c>
      <c r="H46" s="188">
        <f t="shared" si="12"/>
        <v>0</v>
      </c>
      <c r="I46" s="195">
        <f t="shared" si="12"/>
        <v>0</v>
      </c>
      <c r="K46" s="199" t="s">
        <v>150</v>
      </c>
      <c r="L46" s="191">
        <f>(IF((SUM(L12:L42))=0," ",(MIN(L12:L42))))</f>
        <v>-6</v>
      </c>
      <c r="M46" s="201">
        <f>(IF((SUM(M12:M42))=0," ",(MIN(M12:M42))))</f>
        <v>0</v>
      </c>
      <c r="O46" s="228" t="s">
        <v>150</v>
      </c>
      <c r="Q46" s="207" t="s">
        <v>150</v>
      </c>
      <c r="R46" s="203" t="str">
        <f>(IF(((SUM(R12:R42))=0),"-",(MIN(R12:R42))))</f>
        <v>-</v>
      </c>
      <c r="S46" s="204" t="str">
        <f>(IF(((SUM(S12:S42))=0),"-",(MIN(S12:S42))))</f>
        <v>-</v>
      </c>
      <c r="U46" s="229">
        <f>(IF((SUM(U12:U42))=0," ",(MIN(U12:U42))))</f>
        <v>6.9</v>
      </c>
      <c r="V46" s="191">
        <f>(IF((SUM(V12:V42))=0," ",(MIN(V12:V42))))</f>
        <v>6.8</v>
      </c>
      <c r="W46" s="211">
        <f>(IF((SUM(W12:W42))=0," ",(MIN(W12:W42))))</f>
        <v>6.1</v>
      </c>
      <c r="Y46" s="198">
        <f aca="true" t="shared" si="13" ref="Y46:AD46">(IF((SUM(Y12:Y42))=0," ",(MIN(Y12:Y42))))</f>
        <v>10</v>
      </c>
      <c r="Z46" s="188">
        <f t="shared" si="13"/>
        <v>7</v>
      </c>
      <c r="AA46" s="195">
        <f t="shared" si="13"/>
        <v>6</v>
      </c>
      <c r="AB46" t="str">
        <f t="shared" si="13"/>
        <v> </v>
      </c>
      <c r="AC46" s="229">
        <f t="shared" si="13"/>
        <v>0.7</v>
      </c>
      <c r="AD46" s="190">
        <f t="shared" si="13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4" ref="AI46:AO46">(IF((SUM(AI12:AI42))=0," ",(MIN(AI12:AI42))))</f>
        <v>170</v>
      </c>
      <c r="AJ46" s="188">
        <f t="shared" si="14"/>
        <v>4035.0588</v>
      </c>
      <c r="AK46" s="198">
        <f t="shared" si="14"/>
        <v>162</v>
      </c>
      <c r="AL46" s="195">
        <f t="shared" si="14"/>
        <v>3220.9747199999997</v>
      </c>
      <c r="AM46" s="198">
        <f t="shared" si="14"/>
        <v>12</v>
      </c>
      <c r="AN46" s="195">
        <f t="shared" si="14"/>
        <v>256.80528</v>
      </c>
      <c r="AO46" s="230">
        <f t="shared" si="14"/>
        <v>8</v>
      </c>
      <c r="AQ46" s="198">
        <f aca="true" t="shared" si="15" ref="AQ46:AV46">(IF((SUM(AQ12:AQ42))=0," ",(MIN(AQ12:AQ42))))</f>
        <v>140</v>
      </c>
      <c r="AR46" s="195">
        <f t="shared" si="15"/>
        <v>3223.7436000000002</v>
      </c>
      <c r="AS46" s="198">
        <f t="shared" si="15"/>
        <v>83</v>
      </c>
      <c r="AT46" s="195">
        <f t="shared" si="15"/>
        <v>1650.2524799999999</v>
      </c>
      <c r="AU46" s="198">
        <f t="shared" si="15"/>
        <v>14</v>
      </c>
      <c r="AV46" s="195">
        <f t="shared" si="15"/>
        <v>270.18264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22</v>
      </c>
      <c r="BC46" s="207" t="s">
        <v>150</v>
      </c>
      <c r="BD46" s="208" t="s">
        <v>150</v>
      </c>
      <c r="BE46" s="201" t="str">
        <f>(IF((SUM(BE12:BE42))=0," ",(MIN(BE12:BE42))))</f>
        <v> </v>
      </c>
      <c r="BG46" s="231" t="s">
        <v>150</v>
      </c>
      <c r="BH46" s="213" t="s">
        <v>150</v>
      </c>
      <c r="BI46" s="214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8" t="s">
        <v>150</v>
      </c>
      <c r="D47" s="216">
        <f aca="true" t="shared" si="16" ref="D47:I47">(IF((SUM(D12:D42))=0," ",(AVERAGE(D12:D42))))</f>
        <v>2.5750322580645166</v>
      </c>
      <c r="E47" s="215">
        <f t="shared" si="16"/>
        <v>3.951612903225805</v>
      </c>
      <c r="F47" s="216">
        <f t="shared" si="16"/>
        <v>0.7612903225806457</v>
      </c>
      <c r="G47" s="215" t="str">
        <f>(IF((SUM(G12:G42))=0,"0.000",(AVERAGE(G12:G42))))</f>
        <v>0.000</v>
      </c>
      <c r="H47" s="161">
        <f t="shared" si="16"/>
        <v>1070.967741935484</v>
      </c>
      <c r="I47" s="162">
        <f t="shared" si="16"/>
        <v>2064.516129032258</v>
      </c>
      <c r="K47" s="179" t="s">
        <v>150</v>
      </c>
      <c r="L47" s="182">
        <f>(IF((SUM(L12:L42))=0," ",(AVERAGE(L12:L42))))</f>
        <v>14.748387096774193</v>
      </c>
      <c r="M47" s="218">
        <f>(IF((SUM(M12:M42))=0," ",(AVERAGE(M12:M42))))</f>
        <v>0.00870967741935484</v>
      </c>
      <c r="O47" s="219" t="s">
        <v>150</v>
      </c>
      <c r="Q47" s="217" t="str">
        <f>(IF((SUM(Q12:Q42))=0," ",(AVERAGE(Q12:Q42))))</f>
        <v> </v>
      </c>
      <c r="R47" s="232" t="s">
        <v>150</v>
      </c>
      <c r="S47" s="233" t="s">
        <v>150</v>
      </c>
      <c r="U47" s="221">
        <f>(IF((SUM(U12:U42))=0," ",(AVERAGE(U12:U42))))</f>
        <v>7.16032258064516</v>
      </c>
      <c r="V47" s="182">
        <f>(IF((SUM(V12:V42))=0," ",(AVERAGE(V12:V42))))</f>
        <v>7.099999999999996</v>
      </c>
      <c r="W47" s="222">
        <f>(IF((SUM(W12:W42))=0," ",(AVERAGE(W12:W42))))</f>
        <v>6.559032258064515</v>
      </c>
      <c r="Y47" s="217">
        <f>(IF((SUM(Y12:Y42))=0," ",(AVERAGE(Y12:Y42))))</f>
        <v>11.225806451612904</v>
      </c>
      <c r="Z47" s="161">
        <f>(IF((SUM(Z12:Z42))=0," ",(AVERAGE(Z12:Z42))))</f>
        <v>10.129032258064516</v>
      </c>
      <c r="AA47" s="162">
        <f>(IF((SUM(AA12:AA42))=0," ",(AVERAGE(AA12:AA42))))</f>
        <v>9.35483870967742</v>
      </c>
      <c r="AC47" s="221">
        <f>(IF((SUM(AC12:AC42))=0," ",(AVERAGE(AC12:AC42))))</f>
        <v>4.474193548387096</v>
      </c>
      <c r="AD47" s="183">
        <f>(IF((SUM(AD12:AD42))=0," ",(AVERAGE(AD12:AD42))))</f>
        <v>0.04645161290322582</v>
      </c>
      <c r="AE47" s="218">
        <f>(IF((COUNT(AE12:AE42))=0," ",(AVERAGE(AE12:AE42))))</f>
        <v>0.0006451612903225806</v>
      </c>
      <c r="AG47" s="26" t="str">
        <f>($A47)</f>
        <v>Average</v>
      </c>
      <c r="AI47" s="161">
        <f aca="true" t="shared" si="17" ref="AI47:AO47">(IF((SUM(AI12:AI42))=0," ",(AVERAGE(AI12:AI42))))</f>
        <v>227.46153846153845</v>
      </c>
      <c r="AJ47" s="161">
        <f t="shared" si="17"/>
        <v>4800.721481538461</v>
      </c>
      <c r="AK47" s="217">
        <f t="shared" si="17"/>
        <v>167.5</v>
      </c>
      <c r="AL47" s="162">
        <f t="shared" si="17"/>
        <v>3279.8301</v>
      </c>
      <c r="AM47" s="217">
        <f t="shared" si="17"/>
        <v>14.615384615384615</v>
      </c>
      <c r="AN47" s="162">
        <f t="shared" si="17"/>
        <v>309.2414261538462</v>
      </c>
      <c r="AO47" s="223">
        <f t="shared" si="17"/>
        <v>10.538461538461538</v>
      </c>
      <c r="AQ47" s="217">
        <f aca="true" t="shared" si="18" ref="AQ47:AV47">(IF((SUM(AQ12:AQ42))=0," ",(AVERAGE(AQ12:AQ42))))</f>
        <v>196.15384615384616</v>
      </c>
      <c r="AR47" s="162">
        <f t="shared" si="18"/>
        <v>4140.5559507692315</v>
      </c>
      <c r="AS47" s="217">
        <f t="shared" si="18"/>
        <v>86</v>
      </c>
      <c r="AT47" s="162">
        <f t="shared" si="18"/>
        <v>1683.92106</v>
      </c>
      <c r="AU47" s="217">
        <f t="shared" si="18"/>
        <v>19.076923076923077</v>
      </c>
      <c r="AV47" s="162">
        <f t="shared" si="18"/>
        <v>408.7151723076923</v>
      </c>
      <c r="AX47" s="217">
        <f aca="true" t="shared" si="19" ref="AX47:BE47">(IF((SUM(AX12:AX42))=0," ",(AVERAGE(AX12:AX42))))</f>
        <v>45754.2</v>
      </c>
      <c r="AY47" s="182">
        <f t="shared" si="19"/>
        <v>2.5</v>
      </c>
      <c r="AZ47" s="222">
        <f t="shared" si="19"/>
        <v>4.225</v>
      </c>
      <c r="BA47" s="217">
        <f t="shared" si="19"/>
        <v>30.689999999999998</v>
      </c>
      <c r="BB47" s="222">
        <f t="shared" si="19"/>
        <v>25.7</v>
      </c>
      <c r="BC47" s="217">
        <f t="shared" si="19"/>
        <v>15.6</v>
      </c>
      <c r="BD47" s="161" t="str">
        <f t="shared" si="19"/>
        <v> </v>
      </c>
      <c r="BE47" s="218" t="str">
        <f t="shared" si="19"/>
        <v> </v>
      </c>
      <c r="BG47" s="132">
        <f>(IF((SUM(BG12:BG42))=0," ",(AVERAGE(BG12:BG42))))</f>
        <v>15.6</v>
      </c>
      <c r="BH47" s="180" t="s">
        <v>150</v>
      </c>
      <c r="BI47" s="181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41" t="str">
        <f>(IF(((SUM(S12:S42))=0),"-",(GEOMEAN(S12:S42))))</f>
        <v>-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93.55843851089763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90.27450980392157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4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82"/>
      <c r="BM53" s="281"/>
      <c r="BN53" s="282"/>
      <c r="BO53" s="281"/>
      <c r="BP53" s="282"/>
      <c r="BQ53" s="281"/>
      <c r="BR53" s="281"/>
      <c r="BS53" s="281"/>
      <c r="BT53" s="282"/>
      <c r="BU53" s="281"/>
      <c r="BV53" s="281"/>
      <c r="BW53" s="281"/>
      <c r="BX53" s="281"/>
      <c r="BY53" s="282"/>
      <c r="BZ53" s="281"/>
      <c r="CA53" s="281"/>
      <c r="CB53" s="281"/>
      <c r="CC53" s="282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4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82"/>
      <c r="BM54" s="281"/>
      <c r="BN54" s="282"/>
      <c r="BO54" s="281"/>
      <c r="BP54" s="282"/>
      <c r="BQ54" s="281"/>
      <c r="BR54" s="281"/>
      <c r="BS54" s="281"/>
      <c r="BT54" s="282"/>
      <c r="BU54" s="281"/>
      <c r="BV54" s="281"/>
      <c r="BW54" s="281"/>
      <c r="BX54" s="281"/>
      <c r="BY54" s="282"/>
      <c r="BZ54" s="281"/>
      <c r="CA54" s="281"/>
      <c r="CB54" s="281"/>
      <c r="CC54" s="282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4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4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4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4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4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4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verticalCentered="1"/>
  <pageMargins left="0.25" right="0.25" top="0.25" bottom="0.25" header="0.25" footer="0.25"/>
  <pageSetup fitToWidth="3" horizontalDpi="600" verticalDpi="600" orientation="landscape" paperSize="3" scale="75" r:id="rId1"/>
  <colBreaks count="2" manualBreakCount="2">
    <brk id="32" max="50" man="1"/>
    <brk id="62" max="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199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October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October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0">
        <v>3096123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4">
        <v>3098453</v>
      </c>
      <c r="D12" s="137">
        <f aca="true" t="shared" si="0" ref="D12:D42">(IF(C12=0," ",((C12-C11)/1000)))</f>
        <v>2.33</v>
      </c>
      <c r="E12" s="139">
        <v>4.5</v>
      </c>
      <c r="F12" s="140">
        <v>0.5</v>
      </c>
      <c r="G12" s="81" t="str">
        <f aca="true" t="shared" si="1" ref="G12:G42">(IF(C12=0," ","0.00"))</f>
        <v>0.00</v>
      </c>
      <c r="H12" s="84">
        <v>2200</v>
      </c>
      <c r="I12" s="85">
        <v>10000</v>
      </c>
      <c r="J12" s="11"/>
      <c r="K12" s="86" t="s">
        <v>209</v>
      </c>
      <c r="L12" s="84">
        <v>58</v>
      </c>
      <c r="M12" s="87">
        <v>0</v>
      </c>
      <c r="N12" s="11"/>
      <c r="O12" s="88"/>
      <c r="P12" s="11"/>
      <c r="Q12" s="89"/>
      <c r="R12" s="90"/>
      <c r="S12" s="91"/>
      <c r="T12" s="11"/>
      <c r="U12" s="92">
        <v>7.18</v>
      </c>
      <c r="V12" s="93">
        <v>7.06</v>
      </c>
      <c r="W12" s="94">
        <v>6.78</v>
      </c>
      <c r="X12" s="11"/>
      <c r="Y12" s="89">
        <v>17.9</v>
      </c>
      <c r="Z12" s="95">
        <v>17.6</v>
      </c>
      <c r="AA12" s="91">
        <v>18.3</v>
      </c>
      <c r="AB12" s="11"/>
      <c r="AC12" s="92">
        <v>7.5</v>
      </c>
      <c r="AD12" s="90">
        <v>0.1</v>
      </c>
      <c r="AE12" s="96">
        <v>0</v>
      </c>
      <c r="AF12" s="11"/>
      <c r="AG12" s="45">
        <f aca="true" t="shared" si="2" ref="AG12:AG42">($A12)</f>
        <v>1</v>
      </c>
      <c r="AH12" s="282"/>
      <c r="AI12" s="97">
        <v>275</v>
      </c>
      <c r="AJ12" s="55">
        <f aca="true" t="shared" si="3" ref="AJ12:AJ42">IF(AI12=0,"",(D12*AI12*8.34))</f>
        <v>5343.855</v>
      </c>
      <c r="AK12" s="97">
        <v>162</v>
      </c>
      <c r="AL12" s="55">
        <f aca="true" t="shared" si="4" ref="AL12:AL42">IF(AK12=0,"",(D12*AK12*8.34))</f>
        <v>3148.0164000000004</v>
      </c>
      <c r="AM12" s="97">
        <v>13</v>
      </c>
      <c r="AN12" s="55">
        <f aca="true" t="shared" si="5" ref="AN12:AN42">IF(AM12=0,"",(D12*AM12*8.34))</f>
        <v>252.6186</v>
      </c>
      <c r="AO12" s="98">
        <v>8</v>
      </c>
      <c r="AP12" s="11"/>
      <c r="AQ12" s="99">
        <v>292</v>
      </c>
      <c r="AR12" s="55">
        <f aca="true" t="shared" si="6" ref="AR12:AR42">IF(AQ12=0,"",(D12*AQ12*8.34))</f>
        <v>5674.2024</v>
      </c>
      <c r="AS12" s="97">
        <v>91</v>
      </c>
      <c r="AT12" s="55">
        <f aca="true" t="shared" si="7" ref="AT12:AT42">IF(AS12=0,"",(D12*AS12*8.34))</f>
        <v>1768.3301999999999</v>
      </c>
      <c r="AU12" s="97">
        <v>27</v>
      </c>
      <c r="AV12" s="55">
        <f aca="true" t="shared" si="8" ref="AV12:AV42">IF(AU12=0,"",(D12*AU12*8.34))</f>
        <v>524.6694</v>
      </c>
      <c r="AW12" s="11"/>
      <c r="AX12" s="99"/>
      <c r="AY12" s="100"/>
      <c r="AZ12" s="101"/>
      <c r="BA12" s="97"/>
      <c r="BB12" s="101"/>
      <c r="BC12" s="97"/>
      <c r="BD12" s="97"/>
      <c r="BE12" s="102"/>
      <c r="BF12" s="11"/>
      <c r="BG12" s="99"/>
      <c r="BH12" s="83"/>
      <c r="BI12" s="103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5">
        <f>(IF(((SUM(AN12:AN42))=0)," ",(AVERAGE(AN12:AN42))))</f>
        <v>307.3495292307692</v>
      </c>
      <c r="BR12" s="185">
        <f>MAX(AN12:AN42)</f>
        <v>515.6622</v>
      </c>
      <c r="BS12" s="26" t="s">
        <v>126</v>
      </c>
      <c r="BT12" s="26"/>
      <c r="BU12" s="185">
        <f>(IF(((SUM(AM12:AM42))=0)," ",(AVERAGE(AM12:AM42))))</f>
        <v>16.53846153846154</v>
      </c>
      <c r="BV12" s="58">
        <f>(CG23)</f>
        <v>24.333333333333332</v>
      </c>
      <c r="BW12" s="185">
        <f>MAX(AM12:AM42)</f>
        <v>27</v>
      </c>
      <c r="BX12" s="26" t="s">
        <v>128</v>
      </c>
      <c r="BY12" s="26"/>
      <c r="BZ12" s="26">
        <v>0</v>
      </c>
      <c r="CA12" s="266" t="s">
        <v>47</v>
      </c>
      <c r="CB12" s="26">
        <v>24</v>
      </c>
      <c r="CC12" s="136"/>
      <c r="CE12" s="24"/>
      <c r="CF12" s="20" t="s">
        <v>138</v>
      </c>
      <c r="CG12" s="105">
        <v>11</v>
      </c>
      <c r="CH12" s="105">
        <v>214</v>
      </c>
      <c r="CI12" s="279"/>
      <c r="CJ12" s="105">
        <v>19</v>
      </c>
      <c r="CK12" s="105">
        <v>375</v>
      </c>
      <c r="CL12" s="53"/>
      <c r="CM12" s="151">
        <v>0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4">
        <v>3100992</v>
      </c>
      <c r="D13" s="137">
        <f t="shared" si="0"/>
        <v>2.539</v>
      </c>
      <c r="E13" s="139">
        <v>4</v>
      </c>
      <c r="F13" s="140">
        <v>0.6</v>
      </c>
      <c r="G13" s="81" t="str">
        <f t="shared" si="1"/>
        <v>0.00</v>
      </c>
      <c r="H13" s="84">
        <v>0</v>
      </c>
      <c r="I13" s="85">
        <v>2500</v>
      </c>
      <c r="J13" s="11"/>
      <c r="K13" s="86" t="s">
        <v>208</v>
      </c>
      <c r="L13" s="84">
        <v>56</v>
      </c>
      <c r="M13" s="87">
        <v>0</v>
      </c>
      <c r="N13" s="11"/>
      <c r="O13" s="106"/>
      <c r="P13" s="11"/>
      <c r="Q13" s="107"/>
      <c r="R13" s="152"/>
      <c r="S13" s="108"/>
      <c r="T13" s="11"/>
      <c r="U13" s="92">
        <v>7.04</v>
      </c>
      <c r="V13" s="93">
        <v>6.97</v>
      </c>
      <c r="W13" s="94">
        <v>6.43</v>
      </c>
      <c r="X13" s="11"/>
      <c r="Y13" s="89">
        <v>16.8</v>
      </c>
      <c r="Z13" s="95">
        <v>17.3</v>
      </c>
      <c r="AA13" s="91">
        <v>18.3</v>
      </c>
      <c r="AB13" s="11"/>
      <c r="AC13" s="92">
        <v>9</v>
      </c>
      <c r="AD13" s="90">
        <v>0.01</v>
      </c>
      <c r="AE13" s="96">
        <v>0</v>
      </c>
      <c r="AF13" s="11"/>
      <c r="AG13" s="45">
        <f t="shared" si="2"/>
        <v>2</v>
      </c>
      <c r="AH13" s="282"/>
      <c r="AI13" s="97"/>
      <c r="AJ13" s="55">
        <f t="shared" si="3"/>
      </c>
      <c r="AK13" s="97"/>
      <c r="AL13" s="55">
        <f t="shared" si="4"/>
      </c>
      <c r="AM13" s="97"/>
      <c r="AN13" s="55">
        <f t="shared" si="5"/>
      </c>
      <c r="AO13" s="109"/>
      <c r="AP13" s="11"/>
      <c r="AQ13" s="99"/>
      <c r="AR13" s="55">
        <f t="shared" si="6"/>
      </c>
      <c r="AS13" s="97"/>
      <c r="AT13" s="55">
        <f t="shared" si="7"/>
      </c>
      <c r="AU13" s="97"/>
      <c r="AV13" s="55">
        <f t="shared" si="8"/>
      </c>
      <c r="AW13" s="11"/>
      <c r="AX13" s="99"/>
      <c r="AY13" s="100"/>
      <c r="AZ13" s="101"/>
      <c r="BA13" s="97"/>
      <c r="BB13" s="101"/>
      <c r="BC13" s="97"/>
      <c r="BD13" s="97"/>
      <c r="BE13" s="102"/>
      <c r="BF13" s="11"/>
      <c r="BG13" s="99"/>
      <c r="BH13" s="83"/>
      <c r="BI13" s="103"/>
      <c r="BJ13" s="11"/>
      <c r="BK13" s="17"/>
      <c r="BL13" s="19"/>
      <c r="BM13" s="26" t="s">
        <v>86</v>
      </c>
      <c r="BN13" s="20"/>
      <c r="BO13" s="153" t="s">
        <v>131</v>
      </c>
      <c r="BP13" s="26"/>
      <c r="BQ13" s="267">
        <v>963</v>
      </c>
      <c r="BR13" s="267">
        <v>1605</v>
      </c>
      <c r="BS13" s="154" t="s">
        <v>126</v>
      </c>
      <c r="BT13" s="26"/>
      <c r="BU13" s="267">
        <v>30</v>
      </c>
      <c r="BV13" s="268">
        <v>45</v>
      </c>
      <c r="BW13" s="267">
        <v>50</v>
      </c>
      <c r="BX13" s="154" t="s">
        <v>128</v>
      </c>
      <c r="BY13" s="26"/>
      <c r="BZ13" s="269" t="s">
        <v>150</v>
      </c>
      <c r="CA13" s="270" t="s">
        <v>47</v>
      </c>
      <c r="CB13" s="154">
        <v>24</v>
      </c>
      <c r="CC13" s="136"/>
      <c r="CE13" s="24"/>
      <c r="CF13" s="20"/>
      <c r="CG13" s="279"/>
      <c r="CH13" s="279"/>
      <c r="CI13" s="279"/>
      <c r="CJ13" s="279"/>
      <c r="CK13" s="279"/>
      <c r="CL13" s="53"/>
      <c r="CM13" s="280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4">
        <v>3103264</v>
      </c>
      <c r="D14" s="137">
        <f t="shared" si="0"/>
        <v>2.272</v>
      </c>
      <c r="E14" s="139">
        <v>4</v>
      </c>
      <c r="F14" s="140">
        <v>0.5</v>
      </c>
      <c r="G14" s="81" t="str">
        <f t="shared" si="1"/>
        <v>0.00</v>
      </c>
      <c r="H14" s="84">
        <v>0</v>
      </c>
      <c r="I14" s="85">
        <v>0</v>
      </c>
      <c r="K14" s="86" t="s">
        <v>209</v>
      </c>
      <c r="L14" s="84">
        <v>53</v>
      </c>
      <c r="M14" s="87">
        <v>0</v>
      </c>
      <c r="O14" s="106"/>
      <c r="Q14" s="107" t="s">
        <v>10</v>
      </c>
      <c r="R14" s="152" t="s">
        <v>10</v>
      </c>
      <c r="S14" s="108" t="s">
        <v>10</v>
      </c>
      <c r="U14" s="92">
        <v>7.08</v>
      </c>
      <c r="V14" s="93">
        <v>6.99</v>
      </c>
      <c r="W14" s="94">
        <v>6.58</v>
      </c>
      <c r="Y14" s="89">
        <v>16.7</v>
      </c>
      <c r="Z14" s="95">
        <v>17</v>
      </c>
      <c r="AA14" s="91">
        <v>17.6</v>
      </c>
      <c r="AC14" s="92">
        <v>8</v>
      </c>
      <c r="AD14" s="90">
        <v>0.01</v>
      </c>
      <c r="AE14" s="96">
        <v>0</v>
      </c>
      <c r="AG14" s="45">
        <f t="shared" si="2"/>
        <v>3</v>
      </c>
      <c r="AH14" s="281"/>
      <c r="AI14" s="97"/>
      <c r="AJ14" s="55">
        <f t="shared" si="3"/>
      </c>
      <c r="AK14" s="97"/>
      <c r="AL14" s="55">
        <f t="shared" si="4"/>
      </c>
      <c r="AM14" s="97"/>
      <c r="AN14" s="55">
        <f t="shared" si="5"/>
      </c>
      <c r="AO14" s="109"/>
      <c r="AQ14" s="99"/>
      <c r="AR14" s="55">
        <f t="shared" si="6"/>
      </c>
      <c r="AS14" s="97"/>
      <c r="AT14" s="55">
        <f t="shared" si="7"/>
      </c>
      <c r="AU14" s="97"/>
      <c r="AV14" s="55">
        <f t="shared" si="8"/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(IF(((SUM(AM17:AM19))=0)," ",(AVERAGE(AM17:AM19))))</f>
        <v>15</v>
      </c>
      <c r="CH14" s="105">
        <f>(IF(((SUM(AN17:AN19))=0)," ",(AVERAGE(AN17:AN19))))</f>
        <v>282.22560000000004</v>
      </c>
      <c r="CI14" s="279"/>
      <c r="CJ14" s="105">
        <f>(IF(((SUM(AU17:AU19))=0)," ",(AVERAGE(AU17:AU19))))</f>
        <v>25</v>
      </c>
      <c r="CK14" s="105">
        <f>(IF(((SUM(AV17:AV19))=0)," ",(AVERAGE(AV17:AV19))))</f>
        <v>470.39824</v>
      </c>
      <c r="CL14" s="53"/>
      <c r="CM14" s="151">
        <f>(AVERAGE(AE14:AE20))</f>
        <v>0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4">
        <v>3105492</v>
      </c>
      <c r="D15" s="137">
        <f t="shared" si="0"/>
        <v>2.228</v>
      </c>
      <c r="E15" s="139">
        <v>4.4</v>
      </c>
      <c r="F15" s="140">
        <v>0.6</v>
      </c>
      <c r="G15" s="81" t="str">
        <f t="shared" si="1"/>
        <v>0.00</v>
      </c>
      <c r="H15" s="84">
        <v>0</v>
      </c>
      <c r="I15" s="85">
        <v>9000</v>
      </c>
      <c r="K15" s="86" t="s">
        <v>209</v>
      </c>
      <c r="L15" s="84">
        <v>50</v>
      </c>
      <c r="M15" s="87">
        <v>0</v>
      </c>
      <c r="O15" s="106"/>
      <c r="Q15" s="107"/>
      <c r="R15" s="152"/>
      <c r="S15" s="108"/>
      <c r="U15" s="92">
        <v>7.25</v>
      </c>
      <c r="V15" s="93">
        <v>7.02</v>
      </c>
      <c r="W15" s="94">
        <v>6.91</v>
      </c>
      <c r="Y15" s="89">
        <v>17.7</v>
      </c>
      <c r="Z15" s="95">
        <v>17</v>
      </c>
      <c r="AA15" s="91">
        <v>17.6</v>
      </c>
      <c r="AC15" s="92">
        <v>10</v>
      </c>
      <c r="AD15" s="90">
        <v>0.01</v>
      </c>
      <c r="AE15" s="96">
        <v>0</v>
      </c>
      <c r="AG15" s="45">
        <f t="shared" si="2"/>
        <v>4</v>
      </c>
      <c r="AH15" s="281"/>
      <c r="AI15" s="97"/>
      <c r="AJ15" s="55">
        <f t="shared" si="3"/>
      </c>
      <c r="AK15" s="97"/>
      <c r="AL15" s="55">
        <f t="shared" si="4"/>
      </c>
      <c r="AM15" s="97"/>
      <c r="AN15" s="55">
        <f t="shared" si="5"/>
      </c>
      <c r="AO15" s="109"/>
      <c r="AQ15" s="99"/>
      <c r="AR15" s="55">
        <f t="shared" si="6"/>
      </c>
      <c r="AS15" s="97"/>
      <c r="AT15" s="55">
        <f t="shared" si="7"/>
      </c>
      <c r="AU15" s="97"/>
      <c r="AV15" s="55">
        <f t="shared" si="8"/>
      </c>
      <c r="AX15" s="99">
        <v>50275</v>
      </c>
      <c r="AY15" s="100">
        <v>3</v>
      </c>
      <c r="AZ15" s="101">
        <v>3.5</v>
      </c>
      <c r="BA15" s="97">
        <v>34.1</v>
      </c>
      <c r="BB15" s="101">
        <v>28</v>
      </c>
      <c r="BC15" s="97">
        <v>24</v>
      </c>
      <c r="BD15" s="97"/>
      <c r="BE15" s="102"/>
      <c r="BG15" s="99">
        <v>24</v>
      </c>
      <c r="BH15" s="83" t="s">
        <v>210</v>
      </c>
      <c r="BI15" s="103" t="s">
        <v>211</v>
      </c>
      <c r="CE15" s="24"/>
      <c r="CF15" s="20"/>
      <c r="CG15" s="279"/>
      <c r="CH15" s="279"/>
      <c r="CI15" s="279"/>
      <c r="CJ15" s="279"/>
      <c r="CK15" s="279"/>
      <c r="CL15" s="53"/>
      <c r="CM15" s="280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2">
        <v>3107756</v>
      </c>
      <c r="D16" s="138">
        <f t="shared" si="0"/>
        <v>2.264</v>
      </c>
      <c r="E16" s="141">
        <v>3.8</v>
      </c>
      <c r="F16" s="142">
        <v>0.6</v>
      </c>
      <c r="G16" s="183" t="str">
        <f t="shared" si="1"/>
        <v>0.00</v>
      </c>
      <c r="H16" s="112">
        <v>0</v>
      </c>
      <c r="I16" s="113">
        <v>12000</v>
      </c>
      <c r="K16" s="114" t="s">
        <v>209</v>
      </c>
      <c r="L16" s="112">
        <v>46</v>
      </c>
      <c r="M16" s="115">
        <v>0</v>
      </c>
      <c r="O16" s="116"/>
      <c r="Q16" s="107" t="s">
        <v>4</v>
      </c>
      <c r="R16" s="152" t="s">
        <v>4</v>
      </c>
      <c r="S16" s="108" t="s">
        <v>4</v>
      </c>
      <c r="U16" s="117">
        <v>7.15</v>
      </c>
      <c r="V16" s="118">
        <v>7.06</v>
      </c>
      <c r="W16" s="119">
        <v>6.79</v>
      </c>
      <c r="Y16" s="120">
        <v>17.4</v>
      </c>
      <c r="Z16" s="121">
        <v>17</v>
      </c>
      <c r="AA16" s="122">
        <v>17.6</v>
      </c>
      <c r="AC16" s="117">
        <v>5.5</v>
      </c>
      <c r="AD16" s="123">
        <v>0.1</v>
      </c>
      <c r="AE16" s="124">
        <v>0</v>
      </c>
      <c r="AG16" s="45">
        <f t="shared" si="2"/>
        <v>5</v>
      </c>
      <c r="AH16" s="281"/>
      <c r="AI16" s="125"/>
      <c r="AJ16" s="65">
        <f t="shared" si="3"/>
      </c>
      <c r="AK16" s="125"/>
      <c r="AL16" s="65">
        <f t="shared" si="4"/>
      </c>
      <c r="AM16" s="125"/>
      <c r="AN16" s="65">
        <f t="shared" si="5"/>
      </c>
      <c r="AO16" s="126"/>
      <c r="AQ16" s="127"/>
      <c r="AR16" s="65">
        <f t="shared" si="6"/>
      </c>
      <c r="AS16" s="125"/>
      <c r="AT16" s="65">
        <f t="shared" si="7"/>
      </c>
      <c r="AU16" s="125"/>
      <c r="AV16" s="65">
        <f t="shared" si="8"/>
      </c>
      <c r="AX16" s="127"/>
      <c r="AY16" s="128"/>
      <c r="AZ16" s="129"/>
      <c r="BA16" s="125"/>
      <c r="BB16" s="129"/>
      <c r="BC16" s="125"/>
      <c r="BD16" s="125"/>
      <c r="BE16" s="130"/>
      <c r="BG16" s="127"/>
      <c r="BH16" s="110"/>
      <c r="BI16" s="131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(IF(((SUM(AM24:AM26))=0)," ",(AVERAGE(AM24:AM26))))</f>
        <v>13.333333333333334</v>
      </c>
      <c r="CH16" s="105">
        <f>(IF(((SUM(AN24:AN26))=0)," ",(AVERAGE(AN24:AN26))))</f>
        <v>242.27700000000002</v>
      </c>
      <c r="CI16" s="279"/>
      <c r="CJ16" s="105">
        <f>(IF(((SUM(AU24:AU26))=0)," ",(AVERAGE(AU24:AU26))))</f>
        <v>20.333333333333332</v>
      </c>
      <c r="CK16" s="105">
        <f>(IF(((SUM(AV24:AV26))=0)," ",(AVERAGE(AV24:AV26))))</f>
        <v>369.15342000000004</v>
      </c>
      <c r="CL16" s="53"/>
      <c r="CM16" s="151">
        <f>(AVERAGE(AE21:AE27))</f>
        <v>0.002857142857142857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4">
        <v>3110020</v>
      </c>
      <c r="D17" s="137">
        <f t="shared" si="0"/>
        <v>2.264</v>
      </c>
      <c r="E17" s="139">
        <v>4.4</v>
      </c>
      <c r="F17" s="140">
        <v>0.6</v>
      </c>
      <c r="G17" s="81" t="str">
        <f t="shared" si="1"/>
        <v>0.00</v>
      </c>
      <c r="H17" s="84">
        <v>1000</v>
      </c>
      <c r="I17" s="85">
        <v>9750</v>
      </c>
      <c r="K17" s="86" t="s">
        <v>209</v>
      </c>
      <c r="L17" s="84">
        <v>44</v>
      </c>
      <c r="M17" s="87">
        <v>0.05</v>
      </c>
      <c r="O17" s="106"/>
      <c r="Q17" s="107"/>
      <c r="R17" s="152"/>
      <c r="S17" s="108"/>
      <c r="U17" s="92">
        <v>7.2</v>
      </c>
      <c r="V17" s="93">
        <v>7.09</v>
      </c>
      <c r="W17" s="94">
        <v>6.56</v>
      </c>
      <c r="Y17" s="89">
        <v>17.2</v>
      </c>
      <c r="Z17" s="95">
        <v>16.7</v>
      </c>
      <c r="AA17" s="91">
        <v>17.4</v>
      </c>
      <c r="AC17" s="92">
        <v>7.5</v>
      </c>
      <c r="AD17" s="90">
        <v>0.01</v>
      </c>
      <c r="AE17" s="96">
        <v>0</v>
      </c>
      <c r="AG17" s="45">
        <f t="shared" si="2"/>
        <v>6</v>
      </c>
      <c r="AH17" s="281"/>
      <c r="AI17" s="97">
        <v>329</v>
      </c>
      <c r="AJ17" s="55">
        <f t="shared" si="3"/>
        <v>6212.099039999999</v>
      </c>
      <c r="AK17" s="97"/>
      <c r="AL17" s="55">
        <f t="shared" si="4"/>
      </c>
      <c r="AM17" s="97">
        <v>15</v>
      </c>
      <c r="AN17" s="55">
        <f t="shared" si="5"/>
        <v>283.22639999999996</v>
      </c>
      <c r="AO17" s="109">
        <v>8</v>
      </c>
      <c r="AQ17" s="99">
        <v>374</v>
      </c>
      <c r="AR17" s="55">
        <f t="shared" si="6"/>
        <v>7061.778239999999</v>
      </c>
      <c r="AS17" s="97"/>
      <c r="AT17" s="55">
        <f t="shared" si="7"/>
      </c>
      <c r="AU17" s="97">
        <v>25</v>
      </c>
      <c r="AV17" s="55">
        <f t="shared" si="8"/>
        <v>472.0439999999999</v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71" t="s">
        <v>150</v>
      </c>
      <c r="BR17" s="271" t="s">
        <v>150</v>
      </c>
      <c r="BS17" s="271" t="s">
        <v>150</v>
      </c>
      <c r="BT17" s="26"/>
      <c r="BU17" s="68">
        <f>MIN(W12:W42)</f>
        <v>6.16</v>
      </c>
      <c r="BV17" s="271" t="s">
        <v>150</v>
      </c>
      <c r="BW17" s="68">
        <f>MAX(W12:W42)</f>
        <v>7.26</v>
      </c>
      <c r="BX17" s="26" t="s">
        <v>43</v>
      </c>
      <c r="BY17" s="26"/>
      <c r="BZ17" s="26">
        <v>0</v>
      </c>
      <c r="CA17" s="266" t="s">
        <v>48</v>
      </c>
      <c r="CB17" s="26" t="s">
        <v>23</v>
      </c>
      <c r="CC17" s="136"/>
      <c r="CE17" s="69"/>
      <c r="CF17" s="20"/>
      <c r="CG17" s="279"/>
      <c r="CH17" s="279"/>
      <c r="CI17" s="279"/>
      <c r="CJ17" s="279"/>
      <c r="CK17" s="279"/>
      <c r="CL17" s="20"/>
      <c r="CM17" s="280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4">
        <v>3112276</v>
      </c>
      <c r="D18" s="137">
        <f t="shared" si="0"/>
        <v>2.256</v>
      </c>
      <c r="E18" s="139">
        <v>4</v>
      </c>
      <c r="F18" s="140">
        <v>0.6</v>
      </c>
      <c r="G18" s="81" t="str">
        <f t="shared" si="1"/>
        <v>0.00</v>
      </c>
      <c r="H18" s="84">
        <v>900</v>
      </c>
      <c r="I18" s="85">
        <v>8000</v>
      </c>
      <c r="K18" s="86" t="s">
        <v>209</v>
      </c>
      <c r="L18" s="84">
        <v>47</v>
      </c>
      <c r="M18" s="87">
        <v>0.03</v>
      </c>
      <c r="O18" s="106"/>
      <c r="Q18" s="107" t="s">
        <v>4</v>
      </c>
      <c r="R18" s="152" t="s">
        <v>4</v>
      </c>
      <c r="S18" s="108" t="s">
        <v>4</v>
      </c>
      <c r="U18" s="92">
        <v>7.28</v>
      </c>
      <c r="V18" s="93">
        <v>7.11</v>
      </c>
      <c r="W18" s="94">
        <v>6.48</v>
      </c>
      <c r="Y18" s="89">
        <v>17.6</v>
      </c>
      <c r="Z18" s="95">
        <v>17.1</v>
      </c>
      <c r="AA18" s="91">
        <v>17.5</v>
      </c>
      <c r="AC18" s="92">
        <v>7</v>
      </c>
      <c r="AD18" s="90">
        <v>0.01</v>
      </c>
      <c r="AE18" s="96">
        <v>0</v>
      </c>
      <c r="AG18" s="45">
        <f t="shared" si="2"/>
        <v>7</v>
      </c>
      <c r="AH18" s="281"/>
      <c r="AI18" s="97">
        <v>305</v>
      </c>
      <c r="AJ18" s="55">
        <f t="shared" si="3"/>
        <v>5738.587199999999</v>
      </c>
      <c r="AK18" s="97"/>
      <c r="AL18" s="55">
        <f t="shared" si="4"/>
      </c>
      <c r="AM18" s="97">
        <v>15</v>
      </c>
      <c r="AN18" s="55">
        <f t="shared" si="5"/>
        <v>282.2256</v>
      </c>
      <c r="AO18" s="109">
        <v>10</v>
      </c>
      <c r="AQ18" s="99">
        <v>308</v>
      </c>
      <c r="AR18" s="55">
        <f t="shared" si="6"/>
        <v>5795.032319999999</v>
      </c>
      <c r="AS18" s="97"/>
      <c r="AT18" s="55">
        <f t="shared" si="7"/>
      </c>
      <c r="AU18" s="97">
        <v>26</v>
      </c>
      <c r="AV18" s="55">
        <f t="shared" si="8"/>
        <v>489.19103999999993</v>
      </c>
      <c r="AX18" s="99">
        <v>41140</v>
      </c>
      <c r="AY18" s="100">
        <v>3</v>
      </c>
      <c r="AZ18" s="101">
        <v>3</v>
      </c>
      <c r="BA18" s="97">
        <v>31</v>
      </c>
      <c r="BB18" s="101">
        <v>28</v>
      </c>
      <c r="BC18" s="97">
        <v>24</v>
      </c>
      <c r="BD18" s="97"/>
      <c r="BE18" s="102"/>
      <c r="BG18" s="99">
        <v>24</v>
      </c>
      <c r="BH18" s="83" t="s">
        <v>210</v>
      </c>
      <c r="BI18" s="103" t="s">
        <v>211</v>
      </c>
      <c r="BK18" s="17"/>
      <c r="BL18" s="19"/>
      <c r="BM18" s="26" t="s">
        <v>86</v>
      </c>
      <c r="BN18" s="20"/>
      <c r="BO18" s="153" t="s">
        <v>131</v>
      </c>
      <c r="BP18" s="26"/>
      <c r="BQ18" s="269" t="s">
        <v>150</v>
      </c>
      <c r="BR18" s="269" t="s">
        <v>150</v>
      </c>
      <c r="BS18" s="269" t="s">
        <v>150</v>
      </c>
      <c r="BT18" s="26"/>
      <c r="BU18" s="272">
        <v>6</v>
      </c>
      <c r="BV18" s="269" t="s">
        <v>150</v>
      </c>
      <c r="BW18" s="154">
        <v>8.5</v>
      </c>
      <c r="BX18" s="154" t="s">
        <v>43</v>
      </c>
      <c r="BY18" s="26"/>
      <c r="BZ18" s="269" t="s">
        <v>150</v>
      </c>
      <c r="CA18" s="270" t="s">
        <v>48</v>
      </c>
      <c r="CB18" s="154" t="s">
        <v>23</v>
      </c>
      <c r="CC18" s="136"/>
      <c r="CE18" s="69"/>
      <c r="CF18" s="20" t="s">
        <v>141</v>
      </c>
      <c r="CG18" s="105">
        <f>(IF(((SUM(AM31:AM33))=0)," ",(AVERAGE(AM31:AM33))))</f>
        <v>24.333333333333332</v>
      </c>
      <c r="CH18" s="105">
        <f>(IF(((SUM(AN31:AN33))=0)," ",(AVERAGE(AN31:AN33))))</f>
        <v>461.72742</v>
      </c>
      <c r="CI18" s="279"/>
      <c r="CJ18" s="105">
        <f>(IF(((SUM(AU31:AU33))=0)," ",(AVERAGE(AU31:AU33))))</f>
        <v>38</v>
      </c>
      <c r="CK18" s="105">
        <f>(IF(((SUM(AV31:AV33))=0)," ",(AVERAGE(AV31:AV33))))</f>
        <v>720.03946</v>
      </c>
      <c r="CL18" s="20"/>
      <c r="CM18" s="151">
        <f>(AVERAGE(AE28:AE34))</f>
        <v>0.002857142857142857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4">
        <v>3114524</v>
      </c>
      <c r="D19" s="137">
        <f t="shared" si="0"/>
        <v>2.248</v>
      </c>
      <c r="E19" s="139">
        <v>3.8</v>
      </c>
      <c r="F19" s="140">
        <v>0.4</v>
      </c>
      <c r="G19" s="81" t="str">
        <f t="shared" si="1"/>
        <v>0.00</v>
      </c>
      <c r="H19" s="84">
        <v>4500</v>
      </c>
      <c r="I19" s="85">
        <v>6000</v>
      </c>
      <c r="K19" s="86" t="s">
        <v>209</v>
      </c>
      <c r="L19" s="84">
        <v>51</v>
      </c>
      <c r="M19" s="87">
        <v>0.01</v>
      </c>
      <c r="O19" s="106"/>
      <c r="Q19" s="107"/>
      <c r="R19" s="152"/>
      <c r="S19" s="108"/>
      <c r="U19" s="92">
        <v>7.09</v>
      </c>
      <c r="V19" s="93">
        <v>7.04</v>
      </c>
      <c r="W19" s="94">
        <v>6.73</v>
      </c>
      <c r="Y19" s="89">
        <v>17.6</v>
      </c>
      <c r="Z19" s="95">
        <v>17.1</v>
      </c>
      <c r="AA19" s="91">
        <v>17.9</v>
      </c>
      <c r="AC19" s="92">
        <v>50</v>
      </c>
      <c r="AD19" s="90">
        <v>0.01</v>
      </c>
      <c r="AE19" s="96">
        <v>0</v>
      </c>
      <c r="AG19" s="45">
        <f t="shared" si="2"/>
        <v>8</v>
      </c>
      <c r="AH19" s="281"/>
      <c r="AI19" s="97">
        <v>314</v>
      </c>
      <c r="AJ19" s="55">
        <f t="shared" si="3"/>
        <v>5886.97248</v>
      </c>
      <c r="AK19" s="97">
        <v>170</v>
      </c>
      <c r="AL19" s="55">
        <f t="shared" si="4"/>
        <v>3187.2144000000003</v>
      </c>
      <c r="AM19" s="97">
        <v>15</v>
      </c>
      <c r="AN19" s="55">
        <f t="shared" si="5"/>
        <v>281.2248000000001</v>
      </c>
      <c r="AO19" s="109">
        <v>8</v>
      </c>
      <c r="AQ19" s="99">
        <v>296</v>
      </c>
      <c r="AR19" s="55">
        <f t="shared" si="6"/>
        <v>5549.50272</v>
      </c>
      <c r="AS19" s="97">
        <v>101</v>
      </c>
      <c r="AT19" s="55">
        <f t="shared" si="7"/>
        <v>1893.5803200000003</v>
      </c>
      <c r="AU19" s="97">
        <v>24</v>
      </c>
      <c r="AV19" s="55">
        <f t="shared" si="8"/>
        <v>449.95968000000005</v>
      </c>
      <c r="AX19" s="99"/>
      <c r="AY19" s="100"/>
      <c r="AZ19" s="101"/>
      <c r="BA19" s="97"/>
      <c r="BB19" s="101"/>
      <c r="BC19" s="97"/>
      <c r="BD19" s="97"/>
      <c r="BE19" s="102"/>
      <c r="BG19" s="99"/>
      <c r="BH19" s="83"/>
      <c r="BI19" s="103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79"/>
      <c r="CH19" s="279"/>
      <c r="CI19" s="279"/>
      <c r="CJ19" s="279"/>
      <c r="CK19" s="279"/>
      <c r="CL19" s="20"/>
      <c r="CM19" s="280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4">
        <v>3116669</v>
      </c>
      <c r="D20" s="137">
        <f t="shared" si="0"/>
        <v>2.145</v>
      </c>
      <c r="E20" s="139">
        <v>3.8</v>
      </c>
      <c r="F20" s="140">
        <v>0.5</v>
      </c>
      <c r="G20" s="81" t="str">
        <f t="shared" si="1"/>
        <v>0.00</v>
      </c>
      <c r="H20" s="84">
        <v>500</v>
      </c>
      <c r="I20" s="85">
        <v>0</v>
      </c>
      <c r="K20" s="86" t="s">
        <v>209</v>
      </c>
      <c r="L20" s="84">
        <v>59</v>
      </c>
      <c r="M20" s="87">
        <v>0.01</v>
      </c>
      <c r="O20" s="106"/>
      <c r="Q20" s="107"/>
      <c r="R20" s="152"/>
      <c r="S20" s="108"/>
      <c r="U20" s="92">
        <v>7.09</v>
      </c>
      <c r="V20" s="93">
        <v>7.05</v>
      </c>
      <c r="W20" s="94">
        <v>6.51</v>
      </c>
      <c r="Y20" s="89">
        <v>17</v>
      </c>
      <c r="Z20" s="95">
        <v>17.2</v>
      </c>
      <c r="AA20" s="91">
        <v>18.1</v>
      </c>
      <c r="AC20" s="92">
        <v>5</v>
      </c>
      <c r="AD20" s="90">
        <v>0.1</v>
      </c>
      <c r="AE20" s="96">
        <v>0</v>
      </c>
      <c r="AG20" s="45">
        <f t="shared" si="2"/>
        <v>9</v>
      </c>
      <c r="AH20" s="281"/>
      <c r="AI20" s="97"/>
      <c r="AJ20" s="55">
        <f t="shared" si="3"/>
      </c>
      <c r="AK20" s="97"/>
      <c r="AL20" s="55">
        <f t="shared" si="4"/>
      </c>
      <c r="AM20" s="97"/>
      <c r="AN20" s="55">
        <f t="shared" si="5"/>
      </c>
      <c r="AO20" s="109"/>
      <c r="AQ20" s="99"/>
      <c r="AR20" s="55">
        <f t="shared" si="6"/>
      </c>
      <c r="AS20" s="97"/>
      <c r="AT20" s="55">
        <f t="shared" si="7"/>
      </c>
      <c r="AU20" s="97"/>
      <c r="AV20" s="55">
        <f t="shared" si="8"/>
      </c>
      <c r="AX20" s="99"/>
      <c r="AY20" s="100"/>
      <c r="AZ20" s="101"/>
      <c r="BA20" s="97"/>
      <c r="BB20" s="101"/>
      <c r="BC20" s="97"/>
      <c r="BD20" s="97"/>
      <c r="BE20" s="102"/>
      <c r="BG20" s="99"/>
      <c r="BH20" s="83"/>
      <c r="BI20" s="103"/>
      <c r="CE20" s="69"/>
      <c r="CF20" s="20" t="s">
        <v>142</v>
      </c>
      <c r="CG20" s="105">
        <f>(IF(((SUM(AM38:AM40))=0)," ",(AVERAGE(AM38:AM40))))</f>
        <v>14.666666666666666</v>
      </c>
      <c r="CH20" s="105">
        <f>(IF(((SUM(AN38:AN40))=0)," ",(AVERAGE(AN38:AN40))))</f>
        <v>261.41174</v>
      </c>
      <c r="CI20" s="279"/>
      <c r="CJ20" s="105">
        <f>(IF(((SUM(AU38:AU40))=0)," ",(AVERAGE(AU38:AU40))))</f>
        <v>20.333333333333332</v>
      </c>
      <c r="CK20" s="105">
        <f>(IF(((SUM(AV38:AV40))=0)," ",(AVERAGE(AV38:AV40))))</f>
        <v>362.50644000000005</v>
      </c>
      <c r="CL20" s="20"/>
      <c r="CM20" s="151">
        <f>(AVERAGE(AE35:AE41))</f>
        <v>0</v>
      </c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2">
        <v>3118701</v>
      </c>
      <c r="D21" s="138">
        <f t="shared" si="0"/>
        <v>2.032</v>
      </c>
      <c r="E21" s="141">
        <v>3.6</v>
      </c>
      <c r="F21" s="142">
        <v>0.4</v>
      </c>
      <c r="G21" s="183" t="str">
        <f t="shared" si="1"/>
        <v>0.00</v>
      </c>
      <c r="H21" s="112">
        <v>0</v>
      </c>
      <c r="I21" s="113">
        <v>1000</v>
      </c>
      <c r="K21" s="114" t="s">
        <v>208</v>
      </c>
      <c r="L21" s="112">
        <v>59</v>
      </c>
      <c r="M21" s="115">
        <v>0.01</v>
      </c>
      <c r="O21" s="116"/>
      <c r="Q21" s="107"/>
      <c r="R21" s="152"/>
      <c r="S21" s="108"/>
      <c r="U21" s="117">
        <v>7.06</v>
      </c>
      <c r="V21" s="118">
        <v>7</v>
      </c>
      <c r="W21" s="119">
        <v>6.34</v>
      </c>
      <c r="Y21" s="120">
        <v>16.2</v>
      </c>
      <c r="Z21" s="121">
        <v>17.1</v>
      </c>
      <c r="AA21" s="122">
        <v>18.4</v>
      </c>
      <c r="AC21" s="117">
        <v>4</v>
      </c>
      <c r="AD21" s="123">
        <v>0.01</v>
      </c>
      <c r="AE21" s="124">
        <v>0</v>
      </c>
      <c r="AG21" s="45">
        <f t="shared" si="2"/>
        <v>10</v>
      </c>
      <c r="AH21" s="281"/>
      <c r="AI21" s="125"/>
      <c r="AJ21" s="65">
        <f t="shared" si="3"/>
      </c>
      <c r="AK21" s="125"/>
      <c r="AL21" s="65">
        <f t="shared" si="4"/>
      </c>
      <c r="AM21" s="125"/>
      <c r="AN21" s="65">
        <f t="shared" si="5"/>
      </c>
      <c r="AO21" s="126"/>
      <c r="AQ21" s="127"/>
      <c r="AR21" s="65">
        <f t="shared" si="6"/>
      </c>
      <c r="AS21" s="125"/>
      <c r="AT21" s="65">
        <f t="shared" si="7"/>
      </c>
      <c r="AU21" s="125"/>
      <c r="AV21" s="65">
        <f t="shared" si="8"/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4">
        <v>3120665</v>
      </c>
      <c r="D22" s="137">
        <f t="shared" si="0"/>
        <v>1.964</v>
      </c>
      <c r="E22" s="139">
        <v>3.8</v>
      </c>
      <c r="F22" s="140">
        <v>0.5</v>
      </c>
      <c r="G22" s="81" t="str">
        <f t="shared" si="1"/>
        <v>0.00</v>
      </c>
      <c r="H22" s="84">
        <v>1000</v>
      </c>
      <c r="I22" s="85">
        <v>2750</v>
      </c>
      <c r="K22" s="86" t="s">
        <v>209</v>
      </c>
      <c r="L22" s="84">
        <v>54</v>
      </c>
      <c r="M22" s="87">
        <v>0</v>
      </c>
      <c r="O22" s="106"/>
      <c r="Q22" s="107" t="s">
        <v>4</v>
      </c>
      <c r="R22" s="152" t="s">
        <v>4</v>
      </c>
      <c r="S22" s="108" t="s">
        <v>4</v>
      </c>
      <c r="U22" s="92">
        <v>6.97</v>
      </c>
      <c r="V22" s="93">
        <v>7.06</v>
      </c>
      <c r="W22" s="94">
        <v>6.51</v>
      </c>
      <c r="Y22" s="89">
        <v>17</v>
      </c>
      <c r="Z22" s="95">
        <v>16.9</v>
      </c>
      <c r="AA22" s="91">
        <v>17.5</v>
      </c>
      <c r="AC22" s="92">
        <v>1</v>
      </c>
      <c r="AD22" s="90">
        <v>0.1</v>
      </c>
      <c r="AE22" s="96">
        <v>0</v>
      </c>
      <c r="AG22" s="45">
        <f t="shared" si="2"/>
        <v>11</v>
      </c>
      <c r="AH22" s="281"/>
      <c r="AI22" s="97"/>
      <c r="AJ22" s="55">
        <f t="shared" si="3"/>
      </c>
      <c r="AK22" s="97"/>
      <c r="AL22" s="55">
        <f t="shared" si="4"/>
      </c>
      <c r="AM22" s="97"/>
      <c r="AN22" s="55">
        <f t="shared" si="5"/>
      </c>
      <c r="AO22" s="109"/>
      <c r="AQ22" s="99"/>
      <c r="AR22" s="55">
        <f t="shared" si="6"/>
      </c>
      <c r="AS22" s="97"/>
      <c r="AT22" s="55">
        <f t="shared" si="7"/>
      </c>
      <c r="AU22" s="97"/>
      <c r="AV22" s="55">
        <f t="shared" si="8"/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85">
        <f>(IF(((SUM(AV12:AV42))=0)," ",(AVERAGE(AV12:AV42))))</f>
        <v>483.92015999999995</v>
      </c>
      <c r="BR22" s="185">
        <f>MAX(AV12:AV42)</f>
        <v>763.944</v>
      </c>
      <c r="BS22" s="26" t="s">
        <v>126</v>
      </c>
      <c r="BT22" s="26"/>
      <c r="BU22" s="185">
        <f>(IF(((SUM(AU12:AU42))=0)," ",(AVERAGE(AU12:AU42))))</f>
        <v>26</v>
      </c>
      <c r="BV22" s="58">
        <f>(CJ23)</f>
        <v>38</v>
      </c>
      <c r="BW22" s="185">
        <f>MAX(AU12:AU42)</f>
        <v>40</v>
      </c>
      <c r="BX22" s="26" t="s">
        <v>128</v>
      </c>
      <c r="BY22" s="26"/>
      <c r="BZ22" s="26">
        <v>0</v>
      </c>
      <c r="CA22" s="266" t="s">
        <v>47</v>
      </c>
      <c r="CB22" s="26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4">
        <v>3122806</v>
      </c>
      <c r="D23" s="137">
        <f t="shared" si="0"/>
        <v>2.141</v>
      </c>
      <c r="E23" s="139">
        <v>3.8</v>
      </c>
      <c r="F23" s="140">
        <v>0.4</v>
      </c>
      <c r="G23" s="81" t="str">
        <f t="shared" si="1"/>
        <v>0.00</v>
      </c>
      <c r="H23" s="84">
        <v>2200</v>
      </c>
      <c r="I23" s="85">
        <v>12000</v>
      </c>
      <c r="K23" s="86" t="s">
        <v>213</v>
      </c>
      <c r="L23" s="84">
        <v>51</v>
      </c>
      <c r="M23" s="87">
        <v>0.01</v>
      </c>
      <c r="O23" s="106"/>
      <c r="Q23" s="107"/>
      <c r="R23" s="152"/>
      <c r="S23" s="108"/>
      <c r="U23" s="92">
        <v>7.35</v>
      </c>
      <c r="V23" s="93">
        <v>7.04</v>
      </c>
      <c r="W23" s="94">
        <v>6.88</v>
      </c>
      <c r="Y23" s="89">
        <v>16.6</v>
      </c>
      <c r="Z23" s="95">
        <v>16.5</v>
      </c>
      <c r="AA23" s="91">
        <v>16.8</v>
      </c>
      <c r="AC23" s="92">
        <v>9.5</v>
      </c>
      <c r="AD23" s="90">
        <v>0.01</v>
      </c>
      <c r="AE23" s="96">
        <v>0.01</v>
      </c>
      <c r="AG23" s="45">
        <f t="shared" si="2"/>
        <v>12</v>
      </c>
      <c r="AH23" s="281"/>
      <c r="AI23" s="97"/>
      <c r="AJ23" s="55">
        <f t="shared" si="3"/>
      </c>
      <c r="AK23" s="97"/>
      <c r="AL23" s="55">
        <f t="shared" si="4"/>
      </c>
      <c r="AM23" s="97"/>
      <c r="AN23" s="55">
        <f t="shared" si="5"/>
      </c>
      <c r="AO23" s="109"/>
      <c r="AQ23" s="99"/>
      <c r="AR23" s="55">
        <f t="shared" si="6"/>
      </c>
      <c r="AS23" s="97"/>
      <c r="AT23" s="55">
        <f t="shared" si="7"/>
      </c>
      <c r="AU23" s="97"/>
      <c r="AV23" s="55">
        <f t="shared" si="8"/>
      </c>
      <c r="AX23" s="99">
        <v>58843</v>
      </c>
      <c r="AY23" s="100">
        <v>3</v>
      </c>
      <c r="AZ23" s="101">
        <v>3.75</v>
      </c>
      <c r="BA23" s="97">
        <v>27.9</v>
      </c>
      <c r="BB23" s="101">
        <v>28</v>
      </c>
      <c r="BC23" s="97">
        <v>24</v>
      </c>
      <c r="BD23" s="97"/>
      <c r="BE23" s="102"/>
      <c r="BG23" s="99">
        <v>24</v>
      </c>
      <c r="BH23" s="83" t="s">
        <v>210</v>
      </c>
      <c r="BI23" s="103" t="s">
        <v>211</v>
      </c>
      <c r="BK23" s="17"/>
      <c r="BL23" s="19"/>
      <c r="BM23" s="26" t="s">
        <v>86</v>
      </c>
      <c r="BN23" s="20"/>
      <c r="BO23" s="153" t="s">
        <v>131</v>
      </c>
      <c r="BP23" s="26"/>
      <c r="BQ23" s="267">
        <v>963</v>
      </c>
      <c r="BR23" s="267">
        <v>1605</v>
      </c>
      <c r="BS23" s="154" t="s">
        <v>126</v>
      </c>
      <c r="BT23" s="26"/>
      <c r="BU23" s="267">
        <v>30</v>
      </c>
      <c r="BV23" s="268">
        <v>45</v>
      </c>
      <c r="BW23" s="267">
        <v>50</v>
      </c>
      <c r="BX23" s="154" t="s">
        <v>128</v>
      </c>
      <c r="BY23" s="26"/>
      <c r="BZ23" s="269" t="s">
        <v>150</v>
      </c>
      <c r="CA23" s="270" t="s">
        <v>47</v>
      </c>
      <c r="CB23" s="154">
        <v>24</v>
      </c>
      <c r="CC23" s="136"/>
      <c r="CE23" s="69"/>
      <c r="CF23" s="72" t="s">
        <v>53</v>
      </c>
      <c r="CG23" s="185">
        <f>(IF(((SUM(CG12:CG20))=0)," ",(MAX(CG12:CG20))))</f>
        <v>24.333333333333332</v>
      </c>
      <c r="CH23" s="185">
        <f>(IF(((SUM(CH12:CH20))=0)," ",(MAX(CH12:CH20))))</f>
        <v>461.72742</v>
      </c>
      <c r="CI23" s="185"/>
      <c r="CJ23" s="185">
        <f>(IF(((SUM(CJ12:CJ20))=0)," ",(MAX(CJ12:CJ20))))</f>
        <v>38</v>
      </c>
      <c r="CK23" s="185">
        <f>(IF(((SUM(CK12:CK20))=0)," ",(MAX(CK12:CK20))))</f>
        <v>720.03946</v>
      </c>
      <c r="CL23" s="71"/>
      <c r="CM23" s="60">
        <f>(MAX(CM12:CM20))</f>
        <v>0.002857142857142857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4">
        <v>3125020</v>
      </c>
      <c r="D24" s="137">
        <f t="shared" si="0"/>
        <v>2.214</v>
      </c>
      <c r="E24" s="139">
        <v>3.6</v>
      </c>
      <c r="F24" s="140">
        <v>0.4</v>
      </c>
      <c r="G24" s="81" t="str">
        <f t="shared" si="1"/>
        <v>0.00</v>
      </c>
      <c r="H24" s="84">
        <v>3650</v>
      </c>
      <c r="I24" s="85">
        <v>4750</v>
      </c>
      <c r="K24" s="86" t="s">
        <v>209</v>
      </c>
      <c r="L24" s="84">
        <v>53</v>
      </c>
      <c r="M24" s="87">
        <v>0</v>
      </c>
      <c r="O24" s="106"/>
      <c r="Q24" s="107" t="s">
        <v>10</v>
      </c>
      <c r="R24" s="152" t="s">
        <v>10</v>
      </c>
      <c r="S24" s="108" t="s">
        <v>10</v>
      </c>
      <c r="U24" s="92">
        <v>7.23</v>
      </c>
      <c r="V24" s="93">
        <v>7.08</v>
      </c>
      <c r="W24" s="94">
        <v>7.24</v>
      </c>
      <c r="Y24" s="89">
        <v>16.7</v>
      </c>
      <c r="Z24" s="95">
        <v>16.6</v>
      </c>
      <c r="AA24" s="91">
        <v>17</v>
      </c>
      <c r="AC24" s="92">
        <v>8</v>
      </c>
      <c r="AD24" s="90">
        <v>0.01</v>
      </c>
      <c r="AE24" s="96">
        <v>0</v>
      </c>
      <c r="AG24" s="45">
        <f t="shared" si="2"/>
        <v>13</v>
      </c>
      <c r="AH24" s="281"/>
      <c r="AI24" s="97">
        <v>350</v>
      </c>
      <c r="AJ24" s="55">
        <f t="shared" si="3"/>
        <v>6462.665999999999</v>
      </c>
      <c r="AK24" s="97"/>
      <c r="AL24" s="55">
        <f t="shared" si="4"/>
      </c>
      <c r="AM24" s="97">
        <v>15</v>
      </c>
      <c r="AN24" s="55">
        <f t="shared" si="5"/>
        <v>276.9714</v>
      </c>
      <c r="AO24" s="109">
        <v>9</v>
      </c>
      <c r="AQ24" s="99">
        <v>304</v>
      </c>
      <c r="AR24" s="55">
        <f t="shared" si="6"/>
        <v>5613.28704</v>
      </c>
      <c r="AS24" s="97"/>
      <c r="AT24" s="55">
        <f t="shared" si="7"/>
      </c>
      <c r="AU24" s="97">
        <v>21</v>
      </c>
      <c r="AV24" s="55">
        <f t="shared" si="8"/>
        <v>387.75996</v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4">
        <v>3127175</v>
      </c>
      <c r="D25" s="137">
        <f t="shared" si="0"/>
        <v>2.155</v>
      </c>
      <c r="E25" s="139">
        <v>3.6</v>
      </c>
      <c r="F25" s="140">
        <v>0.4</v>
      </c>
      <c r="G25" s="81" t="str">
        <f t="shared" si="1"/>
        <v>0.00</v>
      </c>
      <c r="H25" s="84">
        <v>2300</v>
      </c>
      <c r="I25" s="85">
        <v>5750</v>
      </c>
      <c r="K25" s="86" t="s">
        <v>209</v>
      </c>
      <c r="L25" s="84">
        <v>52</v>
      </c>
      <c r="M25" s="87">
        <v>0</v>
      </c>
      <c r="O25" s="106"/>
      <c r="Q25" s="107"/>
      <c r="R25" s="152"/>
      <c r="S25" s="108"/>
      <c r="U25" s="92">
        <v>7.33</v>
      </c>
      <c r="V25" s="93">
        <v>7.09</v>
      </c>
      <c r="W25" s="94">
        <v>6.57</v>
      </c>
      <c r="Y25" s="89">
        <v>17.2</v>
      </c>
      <c r="Z25" s="95">
        <v>16.9</v>
      </c>
      <c r="AA25" s="91">
        <v>17.5</v>
      </c>
      <c r="AC25" s="92">
        <v>10</v>
      </c>
      <c r="AD25" s="90">
        <v>0.01</v>
      </c>
      <c r="AE25" s="96">
        <v>0</v>
      </c>
      <c r="AG25" s="45">
        <f t="shared" si="2"/>
        <v>14</v>
      </c>
      <c r="AH25" s="281"/>
      <c r="AI25" s="97">
        <v>267</v>
      </c>
      <c r="AJ25" s="55">
        <f t="shared" si="3"/>
        <v>4798.7109</v>
      </c>
      <c r="AK25" s="97"/>
      <c r="AL25" s="55">
        <f t="shared" si="4"/>
      </c>
      <c r="AM25" s="97">
        <v>12</v>
      </c>
      <c r="AN25" s="55">
        <f t="shared" si="5"/>
        <v>215.67239999999998</v>
      </c>
      <c r="AO25" s="109">
        <v>7</v>
      </c>
      <c r="AQ25" s="99">
        <v>254</v>
      </c>
      <c r="AR25" s="55">
        <f t="shared" si="6"/>
        <v>4565.0658</v>
      </c>
      <c r="AS25" s="97"/>
      <c r="AT25" s="55">
        <f t="shared" si="7"/>
      </c>
      <c r="AU25" s="97">
        <v>21</v>
      </c>
      <c r="AV25" s="55">
        <f t="shared" si="8"/>
        <v>377.4267</v>
      </c>
      <c r="AX25" s="99">
        <v>29048</v>
      </c>
      <c r="AY25" s="100">
        <v>4</v>
      </c>
      <c r="AZ25" s="101">
        <v>2</v>
      </c>
      <c r="BA25" s="97">
        <v>34.1</v>
      </c>
      <c r="BB25" s="101">
        <v>27</v>
      </c>
      <c r="BC25" s="97">
        <v>12</v>
      </c>
      <c r="BD25" s="97"/>
      <c r="BE25" s="102"/>
      <c r="BG25" s="99">
        <v>12</v>
      </c>
      <c r="BH25" s="83" t="s">
        <v>210</v>
      </c>
      <c r="BI25" s="103" t="s">
        <v>211</v>
      </c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2">
        <v>3129335</v>
      </c>
      <c r="D26" s="138">
        <f t="shared" si="0"/>
        <v>2.16</v>
      </c>
      <c r="E26" s="141">
        <v>4.8</v>
      </c>
      <c r="F26" s="142">
        <v>0.8</v>
      </c>
      <c r="G26" s="183" t="str">
        <f t="shared" si="1"/>
        <v>0.00</v>
      </c>
      <c r="H26" s="112">
        <v>3500</v>
      </c>
      <c r="I26" s="113">
        <v>9500</v>
      </c>
      <c r="K26" s="114" t="s">
        <v>213</v>
      </c>
      <c r="L26" s="112">
        <v>54</v>
      </c>
      <c r="M26" s="115">
        <v>0</v>
      </c>
      <c r="O26" s="116"/>
      <c r="Q26" s="107" t="s">
        <v>11</v>
      </c>
      <c r="R26" s="152" t="s">
        <v>11</v>
      </c>
      <c r="S26" s="108" t="s">
        <v>11</v>
      </c>
      <c r="U26" s="117">
        <v>7.02</v>
      </c>
      <c r="V26" s="118">
        <v>7.01</v>
      </c>
      <c r="W26" s="119">
        <v>6.68</v>
      </c>
      <c r="Y26" s="120">
        <v>17.6</v>
      </c>
      <c r="Z26" s="121">
        <v>17.3</v>
      </c>
      <c r="AA26" s="122">
        <v>18.1</v>
      </c>
      <c r="AC26" s="117">
        <v>10</v>
      </c>
      <c r="AD26" s="123">
        <v>0</v>
      </c>
      <c r="AE26" s="124">
        <v>0</v>
      </c>
      <c r="AG26" s="45">
        <f t="shared" si="2"/>
        <v>15</v>
      </c>
      <c r="AH26" s="281"/>
      <c r="AI26" s="125">
        <v>331</v>
      </c>
      <c r="AJ26" s="65">
        <f t="shared" si="3"/>
        <v>5962.7664</v>
      </c>
      <c r="AK26" s="125">
        <v>180</v>
      </c>
      <c r="AL26" s="65">
        <f t="shared" si="4"/>
        <v>3242.592</v>
      </c>
      <c r="AM26" s="125">
        <v>13</v>
      </c>
      <c r="AN26" s="65">
        <f t="shared" si="5"/>
        <v>234.18720000000002</v>
      </c>
      <c r="AO26" s="126">
        <v>7</v>
      </c>
      <c r="AQ26" s="127">
        <v>286</v>
      </c>
      <c r="AR26" s="65">
        <f t="shared" si="6"/>
        <v>5152.118399999999</v>
      </c>
      <c r="AS26" s="125">
        <v>84</v>
      </c>
      <c r="AT26" s="65">
        <f t="shared" si="7"/>
        <v>1513.2096</v>
      </c>
      <c r="AU26" s="125">
        <v>19</v>
      </c>
      <c r="AV26" s="65">
        <f t="shared" si="8"/>
        <v>342.27360000000004</v>
      </c>
      <c r="AX26" s="127"/>
      <c r="AY26" s="128"/>
      <c r="AZ26" s="129"/>
      <c r="BA26" s="125"/>
      <c r="BB26" s="129"/>
      <c r="BC26" s="125"/>
      <c r="BD26" s="125"/>
      <c r="BE26" s="130"/>
      <c r="BG26" s="127"/>
      <c r="BH26" s="110"/>
      <c r="BI26" s="131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4">
        <v>3132060</v>
      </c>
      <c r="D27" s="137">
        <f t="shared" si="0"/>
        <v>2.725</v>
      </c>
      <c r="E27" s="139">
        <v>4</v>
      </c>
      <c r="F27" s="140">
        <v>0.6</v>
      </c>
      <c r="G27" s="81" t="str">
        <f t="shared" si="1"/>
        <v>0.00</v>
      </c>
      <c r="H27" s="84">
        <v>150</v>
      </c>
      <c r="I27" s="85">
        <v>1000</v>
      </c>
      <c r="K27" s="86" t="s">
        <v>213</v>
      </c>
      <c r="L27" s="84">
        <v>58</v>
      </c>
      <c r="M27" s="87">
        <v>0.01</v>
      </c>
      <c r="O27" s="106"/>
      <c r="Q27" s="107"/>
      <c r="R27" s="152"/>
      <c r="S27" s="108"/>
      <c r="U27" s="92">
        <v>7.02</v>
      </c>
      <c r="V27" s="93">
        <v>6.88</v>
      </c>
      <c r="W27" s="94">
        <v>6.16</v>
      </c>
      <c r="Y27" s="89">
        <v>16.7</v>
      </c>
      <c r="Z27" s="95">
        <v>16.3</v>
      </c>
      <c r="AA27" s="91">
        <v>17.7</v>
      </c>
      <c r="AC27" s="92">
        <v>5</v>
      </c>
      <c r="AD27" s="90">
        <v>0.1</v>
      </c>
      <c r="AE27" s="96">
        <v>0.01</v>
      </c>
      <c r="AG27" s="45">
        <f t="shared" si="2"/>
        <v>16</v>
      </c>
      <c r="AH27" s="281"/>
      <c r="AI27" s="97"/>
      <c r="AJ27" s="55">
        <f t="shared" si="3"/>
      </c>
      <c r="AK27" s="97"/>
      <c r="AL27" s="55">
        <f t="shared" si="4"/>
      </c>
      <c r="AM27" s="97"/>
      <c r="AN27" s="55">
        <f t="shared" si="5"/>
      </c>
      <c r="AO27" s="109"/>
      <c r="AQ27" s="99"/>
      <c r="AR27" s="55">
        <f t="shared" si="6"/>
      </c>
      <c r="AS27" s="97"/>
      <c r="AT27" s="55">
        <f t="shared" si="7"/>
      </c>
      <c r="AU27" s="97"/>
      <c r="AV27" s="55">
        <f t="shared" si="8"/>
      </c>
      <c r="AX27" s="99"/>
      <c r="AY27" s="100"/>
      <c r="AZ27" s="101"/>
      <c r="BA27" s="97"/>
      <c r="BB27" s="101"/>
      <c r="BC27" s="97"/>
      <c r="BD27" s="97"/>
      <c r="BE27" s="102"/>
      <c r="BG27" s="99"/>
      <c r="BH27" s="83"/>
      <c r="BI27" s="103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4">
        <v>3134331</v>
      </c>
      <c r="D28" s="137">
        <f t="shared" si="0"/>
        <v>2.271</v>
      </c>
      <c r="E28" s="139">
        <v>3.8</v>
      </c>
      <c r="F28" s="140">
        <v>0.6</v>
      </c>
      <c r="G28" s="81" t="str">
        <f t="shared" si="1"/>
        <v>0.00</v>
      </c>
      <c r="H28" s="84">
        <v>0</v>
      </c>
      <c r="I28" s="85">
        <v>0</v>
      </c>
      <c r="K28" s="86" t="s">
        <v>209</v>
      </c>
      <c r="L28" s="84">
        <v>51</v>
      </c>
      <c r="M28" s="87">
        <v>0.01</v>
      </c>
      <c r="O28" s="106"/>
      <c r="Q28" s="107"/>
      <c r="R28" s="152"/>
      <c r="S28" s="108"/>
      <c r="U28" s="92">
        <v>6.94</v>
      </c>
      <c r="V28" s="93">
        <v>6.95</v>
      </c>
      <c r="W28" s="94">
        <v>6.6</v>
      </c>
      <c r="Y28" s="89">
        <v>16.1</v>
      </c>
      <c r="Z28" s="95">
        <v>16.5</v>
      </c>
      <c r="AA28" s="91">
        <v>16.9</v>
      </c>
      <c r="AC28" s="92">
        <v>2.5</v>
      </c>
      <c r="AD28" s="90">
        <v>0.01</v>
      </c>
      <c r="AE28" s="96">
        <v>0</v>
      </c>
      <c r="AG28" s="45">
        <f t="shared" si="2"/>
        <v>17</v>
      </c>
      <c r="AH28" s="281"/>
      <c r="AI28" s="97"/>
      <c r="AJ28" s="55">
        <f t="shared" si="3"/>
      </c>
      <c r="AK28" s="97"/>
      <c r="AL28" s="55">
        <f t="shared" si="4"/>
      </c>
      <c r="AM28" s="97"/>
      <c r="AN28" s="55">
        <f t="shared" si="5"/>
      </c>
      <c r="AO28" s="109"/>
      <c r="AQ28" s="99"/>
      <c r="AR28" s="55">
        <f t="shared" si="6"/>
      </c>
      <c r="AS28" s="97"/>
      <c r="AT28" s="55">
        <f t="shared" si="7"/>
      </c>
      <c r="AU28" s="97"/>
      <c r="AV28" s="55">
        <f t="shared" si="8"/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71" t="s">
        <v>150</v>
      </c>
      <c r="BR28" s="271" t="s">
        <v>150</v>
      </c>
      <c r="BS28" s="271" t="s">
        <v>150</v>
      </c>
      <c r="BT28" s="271"/>
      <c r="BU28" s="271" t="s">
        <v>150</v>
      </c>
      <c r="BV28" s="71">
        <f>(CM23)</f>
        <v>0.002857142857142857</v>
      </c>
      <c r="BW28" s="71">
        <f>MAX(AE12:AE42)</f>
        <v>0.01</v>
      </c>
      <c r="BX28" s="26" t="s">
        <v>128</v>
      </c>
      <c r="BY28" s="26"/>
      <c r="BZ28" s="26">
        <v>0</v>
      </c>
      <c r="CA28" s="266" t="s">
        <v>48</v>
      </c>
      <c r="CB28" s="26" t="s">
        <v>23</v>
      </c>
      <c r="CC28" s="136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4">
        <v>3136598</v>
      </c>
      <c r="D29" s="137">
        <f t="shared" si="0"/>
        <v>2.267</v>
      </c>
      <c r="E29" s="139">
        <v>4</v>
      </c>
      <c r="F29" s="140">
        <v>0.6</v>
      </c>
      <c r="G29" s="81" t="str">
        <f t="shared" si="1"/>
        <v>0.00</v>
      </c>
      <c r="H29" s="84">
        <v>3000</v>
      </c>
      <c r="I29" s="85">
        <v>11000</v>
      </c>
      <c r="K29" s="86" t="s">
        <v>209</v>
      </c>
      <c r="L29" s="84">
        <v>47</v>
      </c>
      <c r="M29" s="87">
        <v>0</v>
      </c>
      <c r="O29" s="106"/>
      <c r="Q29" s="107"/>
      <c r="R29" s="152"/>
      <c r="S29" s="108"/>
      <c r="U29" s="92">
        <v>7.15</v>
      </c>
      <c r="V29" s="93">
        <v>7.01</v>
      </c>
      <c r="W29" s="94">
        <v>6.87</v>
      </c>
      <c r="Y29" s="89">
        <v>17.1</v>
      </c>
      <c r="Z29" s="95">
        <v>16.5</v>
      </c>
      <c r="AA29" s="91">
        <v>17</v>
      </c>
      <c r="AC29" s="92">
        <v>8</v>
      </c>
      <c r="AD29" s="90">
        <v>0.01</v>
      </c>
      <c r="AE29" s="96">
        <v>0</v>
      </c>
      <c r="AG29" s="45">
        <f t="shared" si="2"/>
        <v>18</v>
      </c>
      <c r="AH29" s="281"/>
      <c r="AI29" s="97"/>
      <c r="AJ29" s="55">
        <f t="shared" si="3"/>
      </c>
      <c r="AK29" s="97"/>
      <c r="AL29" s="55">
        <f t="shared" si="4"/>
      </c>
      <c r="AM29" s="97"/>
      <c r="AN29" s="55">
        <f t="shared" si="5"/>
      </c>
      <c r="AO29" s="109"/>
      <c r="AQ29" s="99"/>
      <c r="AR29" s="55">
        <f t="shared" si="6"/>
      </c>
      <c r="AS29" s="97"/>
      <c r="AT29" s="55">
        <f t="shared" si="7"/>
      </c>
      <c r="AU29" s="97"/>
      <c r="AV29" s="55">
        <f t="shared" si="8"/>
      </c>
      <c r="AX29" s="99">
        <v>54772</v>
      </c>
      <c r="AY29" s="100">
        <v>4</v>
      </c>
      <c r="AZ29" s="101">
        <v>4.25</v>
      </c>
      <c r="BA29" s="97">
        <v>37.2</v>
      </c>
      <c r="BB29" s="101">
        <v>30</v>
      </c>
      <c r="BC29" s="97">
        <v>24</v>
      </c>
      <c r="BD29" s="97"/>
      <c r="BE29" s="102"/>
      <c r="BG29" s="99">
        <v>24</v>
      </c>
      <c r="BH29" s="83" t="s">
        <v>210</v>
      </c>
      <c r="BI29" s="103" t="s">
        <v>211</v>
      </c>
      <c r="BK29" s="17"/>
      <c r="BL29" s="19"/>
      <c r="BM29" s="26" t="s">
        <v>86</v>
      </c>
      <c r="BN29" s="20"/>
      <c r="BO29" s="153" t="s">
        <v>131</v>
      </c>
      <c r="BP29" s="26"/>
      <c r="BQ29" s="269" t="s">
        <v>150</v>
      </c>
      <c r="BR29" s="269" t="s">
        <v>150</v>
      </c>
      <c r="BS29" s="269" t="s">
        <v>150</v>
      </c>
      <c r="BT29" s="271"/>
      <c r="BU29" s="269" t="s">
        <v>150</v>
      </c>
      <c r="BV29" s="154" t="s">
        <v>146</v>
      </c>
      <c r="BW29" s="154">
        <v>0.3</v>
      </c>
      <c r="BX29" s="154" t="s">
        <v>128</v>
      </c>
      <c r="BY29" s="26"/>
      <c r="BZ29" s="269" t="s">
        <v>150</v>
      </c>
      <c r="CA29" s="270" t="s">
        <v>48</v>
      </c>
      <c r="CB29" s="154" t="s">
        <v>23</v>
      </c>
      <c r="CC29" s="136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4">
        <v>3138910</v>
      </c>
      <c r="D30" s="137">
        <f t="shared" si="0"/>
        <v>2.312</v>
      </c>
      <c r="E30" s="139">
        <v>4.2</v>
      </c>
      <c r="F30" s="140">
        <v>0.6</v>
      </c>
      <c r="G30" s="81" t="str">
        <f t="shared" si="1"/>
        <v>0.00</v>
      </c>
      <c r="H30" s="84">
        <v>1000</v>
      </c>
      <c r="I30" s="85">
        <v>10000</v>
      </c>
      <c r="K30" s="86" t="s">
        <v>209</v>
      </c>
      <c r="L30" s="84">
        <v>42</v>
      </c>
      <c r="M30" s="87">
        <v>0.01</v>
      </c>
      <c r="O30" s="106"/>
      <c r="Q30" s="107" t="s">
        <v>12</v>
      </c>
      <c r="R30" s="152" t="s">
        <v>12</v>
      </c>
      <c r="S30" s="108" t="s">
        <v>12</v>
      </c>
      <c r="U30" s="92">
        <v>7.12</v>
      </c>
      <c r="V30" s="93">
        <v>7.05</v>
      </c>
      <c r="W30" s="94">
        <v>7.13</v>
      </c>
      <c r="Y30" s="89">
        <v>16.7</v>
      </c>
      <c r="Z30" s="95">
        <v>16.4</v>
      </c>
      <c r="AA30" s="91">
        <v>16.9</v>
      </c>
      <c r="AC30" s="92">
        <v>4</v>
      </c>
      <c r="AD30" s="90">
        <v>0.01</v>
      </c>
      <c r="AE30" s="96">
        <v>0.01</v>
      </c>
      <c r="AG30" s="45">
        <f t="shared" si="2"/>
        <v>19</v>
      </c>
      <c r="AH30" s="281"/>
      <c r="AI30" s="97"/>
      <c r="AJ30" s="55">
        <f t="shared" si="3"/>
      </c>
      <c r="AK30" s="97"/>
      <c r="AL30" s="55">
        <f t="shared" si="4"/>
      </c>
      <c r="AM30" s="97"/>
      <c r="AN30" s="55">
        <f t="shared" si="5"/>
      </c>
      <c r="AO30" s="109"/>
      <c r="AQ30" s="99"/>
      <c r="AR30" s="55">
        <f t="shared" si="6"/>
      </c>
      <c r="AS30" s="97"/>
      <c r="AT30" s="55">
        <f t="shared" si="7"/>
      </c>
      <c r="AU30" s="97"/>
      <c r="AV30" s="55">
        <f t="shared" si="8"/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2">
        <v>3141255</v>
      </c>
      <c r="D31" s="138">
        <f t="shared" si="0"/>
        <v>2.345</v>
      </c>
      <c r="E31" s="141">
        <v>4.2</v>
      </c>
      <c r="F31" s="142">
        <v>0.6</v>
      </c>
      <c r="G31" s="183" t="str">
        <f t="shared" si="1"/>
        <v>0.00</v>
      </c>
      <c r="H31" s="112">
        <v>4000</v>
      </c>
      <c r="I31" s="113">
        <v>9500</v>
      </c>
      <c r="K31" s="114" t="s">
        <v>209</v>
      </c>
      <c r="L31" s="112">
        <v>42</v>
      </c>
      <c r="M31" s="115">
        <v>0</v>
      </c>
      <c r="O31" s="116"/>
      <c r="Q31" s="107"/>
      <c r="R31" s="152"/>
      <c r="S31" s="108"/>
      <c r="U31" s="117">
        <v>7.17</v>
      </c>
      <c r="V31" s="118">
        <v>7.06</v>
      </c>
      <c r="W31" s="119">
        <v>6.66</v>
      </c>
      <c r="Y31" s="120">
        <v>16.7</v>
      </c>
      <c r="Z31" s="121">
        <v>16</v>
      </c>
      <c r="AA31" s="122">
        <v>16.4</v>
      </c>
      <c r="AC31" s="117">
        <v>6</v>
      </c>
      <c r="AD31" s="123">
        <v>0.01</v>
      </c>
      <c r="AE31" s="124">
        <v>0</v>
      </c>
      <c r="AG31" s="45">
        <f t="shared" si="2"/>
        <v>20</v>
      </c>
      <c r="AH31" s="281"/>
      <c r="AI31" s="125">
        <v>358</v>
      </c>
      <c r="AJ31" s="65">
        <f t="shared" si="3"/>
        <v>7001.513400000001</v>
      </c>
      <c r="AK31" s="125"/>
      <c r="AL31" s="65">
        <f t="shared" si="4"/>
      </c>
      <c r="AM31" s="125">
        <v>23</v>
      </c>
      <c r="AN31" s="65">
        <f t="shared" si="5"/>
        <v>449.8179</v>
      </c>
      <c r="AO31" s="126">
        <v>14</v>
      </c>
      <c r="AQ31" s="127">
        <v>404</v>
      </c>
      <c r="AR31" s="65">
        <f t="shared" si="6"/>
        <v>7901.149200000001</v>
      </c>
      <c r="AS31" s="125"/>
      <c r="AT31" s="65">
        <f t="shared" si="7"/>
      </c>
      <c r="AU31" s="125">
        <v>35</v>
      </c>
      <c r="AV31" s="65">
        <f t="shared" si="8"/>
        <v>684.5055</v>
      </c>
      <c r="AX31" s="127">
        <v>28532</v>
      </c>
      <c r="AY31" s="128">
        <v>3</v>
      </c>
      <c r="AZ31" s="129">
        <v>2</v>
      </c>
      <c r="BA31" s="125">
        <v>21.7</v>
      </c>
      <c r="BB31" s="129">
        <v>30</v>
      </c>
      <c r="BC31" s="125">
        <v>12</v>
      </c>
      <c r="BD31" s="125"/>
      <c r="BE31" s="130"/>
      <c r="BG31" s="127">
        <v>12</v>
      </c>
      <c r="BH31" s="110" t="s">
        <v>210</v>
      </c>
      <c r="BI31" s="131" t="s">
        <v>211</v>
      </c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4">
        <v>3143545</v>
      </c>
      <c r="D32" s="137">
        <f t="shared" si="0"/>
        <v>2.29</v>
      </c>
      <c r="E32" s="139">
        <v>3.8</v>
      </c>
      <c r="F32" s="140">
        <v>0.6</v>
      </c>
      <c r="G32" s="81" t="str">
        <f t="shared" si="1"/>
        <v>0.00</v>
      </c>
      <c r="H32" s="84">
        <v>3000</v>
      </c>
      <c r="I32" s="85">
        <v>5500</v>
      </c>
      <c r="K32" s="86" t="s">
        <v>209</v>
      </c>
      <c r="L32" s="84">
        <v>41</v>
      </c>
      <c r="M32" s="87">
        <v>0.05</v>
      </c>
      <c r="O32" s="106"/>
      <c r="Q32" s="107" t="s">
        <v>13</v>
      </c>
      <c r="R32" s="152" t="s">
        <v>13</v>
      </c>
      <c r="S32" s="108" t="s">
        <v>13</v>
      </c>
      <c r="U32" s="92">
        <v>7.3</v>
      </c>
      <c r="V32" s="93">
        <v>7.06</v>
      </c>
      <c r="W32" s="94">
        <v>6.55</v>
      </c>
      <c r="Y32" s="89">
        <v>16.5</v>
      </c>
      <c r="Z32" s="95">
        <v>16.2</v>
      </c>
      <c r="AA32" s="91">
        <v>16.4</v>
      </c>
      <c r="AC32" s="92">
        <v>7</v>
      </c>
      <c r="AD32" s="90">
        <v>0.1</v>
      </c>
      <c r="AE32" s="96">
        <v>0</v>
      </c>
      <c r="AG32" s="45">
        <f t="shared" si="2"/>
        <v>21</v>
      </c>
      <c r="AH32" s="281"/>
      <c r="AI32" s="97">
        <v>330</v>
      </c>
      <c r="AJ32" s="55">
        <f t="shared" si="3"/>
        <v>6302.5380000000005</v>
      </c>
      <c r="AK32" s="97"/>
      <c r="AL32" s="55">
        <f t="shared" si="4"/>
      </c>
      <c r="AM32" s="97">
        <v>27</v>
      </c>
      <c r="AN32" s="55">
        <f t="shared" si="5"/>
        <v>515.6622</v>
      </c>
      <c r="AO32" s="109">
        <v>15</v>
      </c>
      <c r="AQ32" s="99">
        <v>314</v>
      </c>
      <c r="AR32" s="55">
        <f t="shared" si="6"/>
        <v>5996.9604</v>
      </c>
      <c r="AS32" s="97"/>
      <c r="AT32" s="55">
        <f t="shared" si="7"/>
      </c>
      <c r="AU32" s="97">
        <v>40</v>
      </c>
      <c r="AV32" s="55">
        <f t="shared" si="8"/>
        <v>763.944</v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4">
        <v>3145733</v>
      </c>
      <c r="D33" s="137">
        <f t="shared" si="0"/>
        <v>2.188</v>
      </c>
      <c r="E33" s="139">
        <v>3.6</v>
      </c>
      <c r="F33" s="140">
        <v>0.6</v>
      </c>
      <c r="G33" s="81" t="str">
        <f t="shared" si="1"/>
        <v>0.00</v>
      </c>
      <c r="H33" s="84">
        <v>2250</v>
      </c>
      <c r="I33" s="85">
        <v>12000</v>
      </c>
      <c r="K33" s="86" t="s">
        <v>208</v>
      </c>
      <c r="L33" s="84">
        <v>46</v>
      </c>
      <c r="M33" s="87">
        <v>0.03</v>
      </c>
      <c r="O33" s="106"/>
      <c r="Q33" s="107"/>
      <c r="R33" s="152"/>
      <c r="S33" s="108"/>
      <c r="U33" s="92">
        <v>7.24</v>
      </c>
      <c r="V33" s="93">
        <v>7.05</v>
      </c>
      <c r="W33" s="94">
        <v>6.85</v>
      </c>
      <c r="Y33" s="89">
        <v>16.6</v>
      </c>
      <c r="Z33" s="95">
        <v>16.6</v>
      </c>
      <c r="AA33" s="91">
        <v>16.9</v>
      </c>
      <c r="AC33" s="92">
        <v>10</v>
      </c>
      <c r="AD33" s="90">
        <v>0.1</v>
      </c>
      <c r="AE33" s="96">
        <v>0.01</v>
      </c>
      <c r="AG33" s="45">
        <f t="shared" si="2"/>
        <v>22</v>
      </c>
      <c r="AH33" s="281"/>
      <c r="AI33" s="97">
        <v>348</v>
      </c>
      <c r="AJ33" s="55">
        <f t="shared" si="3"/>
        <v>6350.27616</v>
      </c>
      <c r="AK33" s="97">
        <v>199</v>
      </c>
      <c r="AL33" s="55">
        <f t="shared" si="4"/>
        <v>3631.33608</v>
      </c>
      <c r="AM33" s="97">
        <v>23</v>
      </c>
      <c r="AN33" s="55">
        <f t="shared" si="5"/>
        <v>419.70216000000005</v>
      </c>
      <c r="AO33" s="109">
        <v>10</v>
      </c>
      <c r="AQ33" s="99">
        <v>274</v>
      </c>
      <c r="AR33" s="55">
        <f t="shared" si="6"/>
        <v>4999.93008</v>
      </c>
      <c r="AS33" s="97">
        <v>83</v>
      </c>
      <c r="AT33" s="55">
        <f t="shared" si="7"/>
        <v>1514.57736</v>
      </c>
      <c r="AU33" s="97">
        <v>39</v>
      </c>
      <c r="AV33" s="55">
        <f t="shared" si="8"/>
        <v>711.6688800000001</v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273">
        <f>(D47)</f>
        <v>2.218032258064516</v>
      </c>
      <c r="BR33" s="273">
        <f>(D45)</f>
        <v>2.725</v>
      </c>
      <c r="BS33" s="26" t="s">
        <v>127</v>
      </c>
      <c r="BT33" s="26"/>
      <c r="BU33" s="271" t="s">
        <v>150</v>
      </c>
      <c r="BV33" s="271" t="s">
        <v>150</v>
      </c>
      <c r="BW33" s="271" t="s">
        <v>150</v>
      </c>
      <c r="BX33" s="271" t="s">
        <v>150</v>
      </c>
      <c r="BY33" s="26"/>
      <c r="BZ33" s="26">
        <v>0</v>
      </c>
      <c r="CA33" s="75" t="s">
        <v>24</v>
      </c>
      <c r="CB33" s="26" t="s">
        <v>25</v>
      </c>
      <c r="CC33" s="136"/>
      <c r="CJ33" s="338" t="s">
        <v>17</v>
      </c>
      <c r="CK33" s="340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4">
        <v>3147914</v>
      </c>
      <c r="D34" s="137">
        <f t="shared" si="0"/>
        <v>2.181</v>
      </c>
      <c r="E34" s="139">
        <v>3.8</v>
      </c>
      <c r="F34" s="140">
        <v>0.4</v>
      </c>
      <c r="G34" s="81" t="str">
        <f t="shared" si="1"/>
        <v>0.00</v>
      </c>
      <c r="H34" s="84">
        <v>2000</v>
      </c>
      <c r="I34" s="85">
        <v>5000</v>
      </c>
      <c r="K34" s="86" t="s">
        <v>208</v>
      </c>
      <c r="L34" s="84">
        <v>46</v>
      </c>
      <c r="M34" s="87">
        <v>0.01</v>
      </c>
      <c r="O34" s="106"/>
      <c r="Q34" s="107" t="s">
        <v>14</v>
      </c>
      <c r="R34" s="152" t="s">
        <v>14</v>
      </c>
      <c r="S34" s="108" t="s">
        <v>14</v>
      </c>
      <c r="U34" s="92">
        <v>7</v>
      </c>
      <c r="V34" s="93">
        <v>7</v>
      </c>
      <c r="W34" s="94">
        <v>6.62</v>
      </c>
      <c r="Y34" s="89">
        <v>16.4</v>
      </c>
      <c r="Z34" s="95">
        <v>16.4</v>
      </c>
      <c r="AA34" s="91">
        <v>16.4</v>
      </c>
      <c r="AC34" s="92">
        <v>5</v>
      </c>
      <c r="AD34" s="90">
        <v>0.1</v>
      </c>
      <c r="AE34" s="96">
        <v>0</v>
      </c>
      <c r="AG34" s="45">
        <f t="shared" si="2"/>
        <v>23</v>
      </c>
      <c r="AH34" s="281"/>
      <c r="AI34" s="97"/>
      <c r="AJ34" s="55">
        <f t="shared" si="3"/>
      </c>
      <c r="AK34" s="97"/>
      <c r="AL34" s="55">
        <f t="shared" si="4"/>
      </c>
      <c r="AM34" s="97"/>
      <c r="AN34" s="55">
        <f t="shared" si="5"/>
      </c>
      <c r="AO34" s="109"/>
      <c r="AQ34" s="99"/>
      <c r="AR34" s="55">
        <f t="shared" si="6"/>
      </c>
      <c r="AS34" s="97"/>
      <c r="AT34" s="55">
        <f t="shared" si="7"/>
      </c>
      <c r="AU34" s="97"/>
      <c r="AV34" s="55">
        <f t="shared" si="8"/>
      </c>
      <c r="AX34" s="99"/>
      <c r="AY34" s="100"/>
      <c r="AZ34" s="101"/>
      <c r="BA34" s="97"/>
      <c r="BB34" s="101"/>
      <c r="BC34" s="97"/>
      <c r="BD34" s="97"/>
      <c r="BE34" s="102"/>
      <c r="BG34" s="99"/>
      <c r="BH34" s="83"/>
      <c r="BI34" s="103"/>
      <c r="BK34" s="17"/>
      <c r="BL34" s="19"/>
      <c r="BM34" s="26" t="s">
        <v>86</v>
      </c>
      <c r="BN34" s="20"/>
      <c r="BO34" s="153" t="s">
        <v>131</v>
      </c>
      <c r="BP34" s="26"/>
      <c r="BQ34" s="274">
        <v>3.85</v>
      </c>
      <c r="BR34" s="154" t="s">
        <v>146</v>
      </c>
      <c r="BS34" s="154" t="s">
        <v>127</v>
      </c>
      <c r="BT34" s="26"/>
      <c r="BU34" s="269" t="s">
        <v>150</v>
      </c>
      <c r="BV34" s="269" t="s">
        <v>150</v>
      </c>
      <c r="BW34" s="269" t="s">
        <v>150</v>
      </c>
      <c r="BX34" s="269" t="s">
        <v>150</v>
      </c>
      <c r="BY34" s="26"/>
      <c r="BZ34" s="269" t="s">
        <v>150</v>
      </c>
      <c r="CA34" s="275" t="s">
        <v>24</v>
      </c>
      <c r="CB34" s="154" t="s">
        <v>25</v>
      </c>
      <c r="CC34" s="136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4">
        <v>3150028</v>
      </c>
      <c r="D35" s="137">
        <f t="shared" si="0"/>
        <v>2.114</v>
      </c>
      <c r="E35" s="139">
        <v>3.8</v>
      </c>
      <c r="F35" s="140">
        <v>0.4</v>
      </c>
      <c r="G35" s="81" t="str">
        <f t="shared" si="1"/>
        <v>0.00</v>
      </c>
      <c r="H35" s="84">
        <v>0</v>
      </c>
      <c r="I35" s="85">
        <v>0</v>
      </c>
      <c r="K35" s="86" t="s">
        <v>208</v>
      </c>
      <c r="L35" s="84">
        <v>46</v>
      </c>
      <c r="M35" s="87">
        <v>0.01</v>
      </c>
      <c r="O35" s="106"/>
      <c r="Q35" s="107"/>
      <c r="R35" s="152"/>
      <c r="S35" s="108"/>
      <c r="U35" s="92">
        <v>7.01</v>
      </c>
      <c r="V35" s="93">
        <v>7</v>
      </c>
      <c r="W35" s="94">
        <v>6.8</v>
      </c>
      <c r="Y35" s="89">
        <v>16.6</v>
      </c>
      <c r="Z35" s="95">
        <v>16.4</v>
      </c>
      <c r="AA35" s="91">
        <v>16.7</v>
      </c>
      <c r="AC35" s="92">
        <v>4.5</v>
      </c>
      <c r="AD35" s="90">
        <v>0.1</v>
      </c>
      <c r="AE35" s="96">
        <v>0</v>
      </c>
      <c r="AG35" s="45">
        <f t="shared" si="2"/>
        <v>24</v>
      </c>
      <c r="AH35" s="281"/>
      <c r="AI35" s="97"/>
      <c r="AJ35" s="55">
        <f t="shared" si="3"/>
      </c>
      <c r="AK35" s="97"/>
      <c r="AL35" s="55">
        <f t="shared" si="4"/>
      </c>
      <c r="AM35" s="97"/>
      <c r="AN35" s="55">
        <f t="shared" si="5"/>
      </c>
      <c r="AO35" s="109"/>
      <c r="AQ35" s="99"/>
      <c r="AR35" s="55">
        <f t="shared" si="6"/>
      </c>
      <c r="AS35" s="97"/>
      <c r="AT35" s="55">
        <f t="shared" si="7"/>
      </c>
      <c r="AU35" s="97"/>
      <c r="AV35" s="55">
        <f t="shared" si="8"/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2">
        <v>3152142</v>
      </c>
      <c r="D36" s="138">
        <f t="shared" si="0"/>
        <v>2.114</v>
      </c>
      <c r="E36" s="141">
        <v>3.6</v>
      </c>
      <c r="F36" s="142">
        <v>0.4</v>
      </c>
      <c r="G36" s="183" t="str">
        <f t="shared" si="1"/>
        <v>0.00</v>
      </c>
      <c r="H36" s="112">
        <v>4450</v>
      </c>
      <c r="I36" s="113">
        <v>5000</v>
      </c>
      <c r="K36" s="114" t="s">
        <v>208</v>
      </c>
      <c r="L36" s="112">
        <v>47</v>
      </c>
      <c r="M36" s="115">
        <v>0.01</v>
      </c>
      <c r="O36" s="116"/>
      <c r="Q36" s="107" t="s">
        <v>12</v>
      </c>
      <c r="R36" s="152" t="s">
        <v>12</v>
      </c>
      <c r="S36" s="108" t="s">
        <v>12</v>
      </c>
      <c r="U36" s="117">
        <v>7.1</v>
      </c>
      <c r="V36" s="118">
        <v>6.95</v>
      </c>
      <c r="W36" s="119">
        <v>6.63</v>
      </c>
      <c r="Y36" s="120">
        <v>16.7</v>
      </c>
      <c r="Z36" s="121">
        <v>16.5</v>
      </c>
      <c r="AA36" s="122">
        <v>17</v>
      </c>
      <c r="AC36" s="117">
        <v>5</v>
      </c>
      <c r="AD36" s="123">
        <v>0</v>
      </c>
      <c r="AE36" s="124">
        <v>0</v>
      </c>
      <c r="AG36" s="45">
        <f t="shared" si="2"/>
        <v>25</v>
      </c>
      <c r="AH36" s="281"/>
      <c r="AI36" s="125"/>
      <c r="AJ36" s="65">
        <f t="shared" si="3"/>
      </c>
      <c r="AK36" s="125"/>
      <c r="AL36" s="65">
        <f t="shared" si="4"/>
      </c>
      <c r="AM36" s="125"/>
      <c r="AN36" s="65">
        <f t="shared" si="5"/>
      </c>
      <c r="AO36" s="126"/>
      <c r="AQ36" s="127"/>
      <c r="AR36" s="65">
        <f t="shared" si="6"/>
      </c>
      <c r="AS36" s="125"/>
      <c r="AT36" s="65">
        <f t="shared" si="7"/>
      </c>
      <c r="AU36" s="125"/>
      <c r="AV36" s="65">
        <f t="shared" si="8"/>
      </c>
      <c r="AX36" s="127">
        <v>52595</v>
      </c>
      <c r="AY36" s="128">
        <v>3</v>
      </c>
      <c r="AZ36" s="129">
        <v>3.5</v>
      </c>
      <c r="BA36" s="125">
        <v>34.1</v>
      </c>
      <c r="BB36" s="129">
        <v>28</v>
      </c>
      <c r="BC36" s="125">
        <v>24</v>
      </c>
      <c r="BD36" s="125"/>
      <c r="BE36" s="130"/>
      <c r="BG36" s="127">
        <v>24</v>
      </c>
      <c r="BH36" s="110" t="s">
        <v>210</v>
      </c>
      <c r="BI36" s="131" t="s">
        <v>211</v>
      </c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4">
        <v>3154254</v>
      </c>
      <c r="D37" s="137">
        <f t="shared" si="0"/>
        <v>2.112</v>
      </c>
      <c r="E37" s="139">
        <v>3.8</v>
      </c>
      <c r="F37" s="140">
        <v>0.4</v>
      </c>
      <c r="G37" s="81" t="str">
        <f t="shared" si="1"/>
        <v>0.00</v>
      </c>
      <c r="H37" s="84">
        <v>7250</v>
      </c>
      <c r="I37" s="85">
        <v>8250</v>
      </c>
      <c r="K37" s="86" t="s">
        <v>209</v>
      </c>
      <c r="L37" s="84">
        <v>49</v>
      </c>
      <c r="M37" s="87">
        <v>0.01</v>
      </c>
      <c r="O37" s="106"/>
      <c r="Q37" s="107"/>
      <c r="R37" s="152"/>
      <c r="S37" s="108"/>
      <c r="U37" s="92">
        <v>7.31</v>
      </c>
      <c r="V37" s="93">
        <v>7.07</v>
      </c>
      <c r="W37" s="94">
        <v>7.08</v>
      </c>
      <c r="Y37" s="89">
        <v>16.7</v>
      </c>
      <c r="Z37" s="95">
        <v>16.2</v>
      </c>
      <c r="AA37" s="91">
        <v>16.8</v>
      </c>
      <c r="AC37" s="92">
        <v>12</v>
      </c>
      <c r="AD37" s="90">
        <v>0.01</v>
      </c>
      <c r="AE37" s="96">
        <v>0</v>
      </c>
      <c r="AG37" s="45">
        <f t="shared" si="2"/>
        <v>26</v>
      </c>
      <c r="AH37" s="281"/>
      <c r="AI37" s="97"/>
      <c r="AJ37" s="55">
        <f t="shared" si="3"/>
      </c>
      <c r="AK37" s="97"/>
      <c r="AL37" s="55">
        <f t="shared" si="4"/>
      </c>
      <c r="AM37" s="97"/>
      <c r="AN37" s="55">
        <f t="shared" si="5"/>
      </c>
      <c r="AO37" s="109"/>
      <c r="AQ37" s="99"/>
      <c r="AR37" s="55">
        <f t="shared" si="6"/>
      </c>
      <c r="AS37" s="97"/>
      <c r="AT37" s="55">
        <f t="shared" si="7"/>
      </c>
      <c r="AU37" s="97"/>
      <c r="AV37" s="55">
        <f t="shared" si="8"/>
      </c>
      <c r="AX37" s="99"/>
      <c r="AY37" s="100"/>
      <c r="AZ37" s="101"/>
      <c r="BA37" s="97"/>
      <c r="BB37" s="101"/>
      <c r="BC37" s="97"/>
      <c r="BD37" s="97"/>
      <c r="BE37" s="102"/>
      <c r="BG37" s="99"/>
      <c r="BH37" s="83"/>
      <c r="BI37" s="103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8">
        <f>(IF(((SUM(AJ12:AJ42))=0)," ",(((AJ47-(D47*AO47*8.346))/AJ47)*100)))</f>
        <v>97.22978917006111</v>
      </c>
      <c r="CK37" s="349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4">
        <v>3156371</v>
      </c>
      <c r="D38" s="137">
        <f t="shared" si="0"/>
        <v>2.117</v>
      </c>
      <c r="E38" s="139">
        <v>4.2</v>
      </c>
      <c r="F38" s="140">
        <v>0.6</v>
      </c>
      <c r="G38" s="81" t="str">
        <f t="shared" si="1"/>
        <v>0.00</v>
      </c>
      <c r="H38" s="84">
        <v>4500</v>
      </c>
      <c r="I38" s="85">
        <v>7000</v>
      </c>
      <c r="K38" s="86" t="s">
        <v>209</v>
      </c>
      <c r="L38" s="84">
        <v>48</v>
      </c>
      <c r="M38" s="87">
        <v>0</v>
      </c>
      <c r="O38" s="106"/>
      <c r="Q38" s="107" t="s">
        <v>10</v>
      </c>
      <c r="R38" s="152" t="s">
        <v>10</v>
      </c>
      <c r="S38" s="108" t="s">
        <v>10</v>
      </c>
      <c r="U38" s="92">
        <v>7.2</v>
      </c>
      <c r="V38" s="93">
        <v>6.97</v>
      </c>
      <c r="W38" s="94">
        <v>6.63</v>
      </c>
      <c r="Y38" s="89">
        <v>16.2</v>
      </c>
      <c r="Z38" s="95">
        <v>16</v>
      </c>
      <c r="AA38" s="91">
        <v>16.2</v>
      </c>
      <c r="AC38" s="92">
        <v>4.5</v>
      </c>
      <c r="AD38" s="90">
        <v>0.01</v>
      </c>
      <c r="AE38" s="96">
        <v>0</v>
      </c>
      <c r="AG38" s="45">
        <f t="shared" si="2"/>
        <v>27</v>
      </c>
      <c r="AH38" s="281"/>
      <c r="AI38" s="97">
        <v>360</v>
      </c>
      <c r="AJ38" s="55">
        <f t="shared" si="3"/>
        <v>6356.0808</v>
      </c>
      <c r="AK38" s="97"/>
      <c r="AL38" s="55">
        <f t="shared" si="4"/>
      </c>
      <c r="AM38" s="97">
        <v>14</v>
      </c>
      <c r="AN38" s="55">
        <f t="shared" si="5"/>
        <v>247.18092</v>
      </c>
      <c r="AO38" s="109">
        <v>8</v>
      </c>
      <c r="AQ38" s="99">
        <v>312</v>
      </c>
      <c r="AR38" s="55">
        <f t="shared" si="6"/>
        <v>5508.60336</v>
      </c>
      <c r="AS38" s="97"/>
      <c r="AT38" s="55">
        <f t="shared" si="7"/>
      </c>
      <c r="AU38" s="97">
        <v>21</v>
      </c>
      <c r="AV38" s="55">
        <f t="shared" si="8"/>
        <v>370.77138</v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71" t="s">
        <v>150</v>
      </c>
      <c r="BR38" s="271" t="s">
        <v>150</v>
      </c>
      <c r="BS38" s="271" t="s">
        <v>150</v>
      </c>
      <c r="BT38" s="26"/>
      <c r="BU38" s="68">
        <f>(AN49)</f>
        <v>95.01734012065542</v>
      </c>
      <c r="BV38" s="271" t="s">
        <v>150</v>
      </c>
      <c r="BW38" s="271" t="s">
        <v>150</v>
      </c>
      <c r="BX38" s="26" t="s">
        <v>129</v>
      </c>
      <c r="BY38" s="26"/>
      <c r="BZ38" s="26">
        <v>0</v>
      </c>
      <c r="CA38" s="266" t="s">
        <v>49</v>
      </c>
      <c r="CB38" s="26" t="s">
        <v>26</v>
      </c>
      <c r="CC38" s="136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4">
        <v>3158558</v>
      </c>
      <c r="D39" s="137">
        <f t="shared" si="0"/>
        <v>2.187</v>
      </c>
      <c r="E39" s="139">
        <v>4.2</v>
      </c>
      <c r="F39" s="140">
        <v>0.6</v>
      </c>
      <c r="G39" s="81" t="str">
        <f t="shared" si="1"/>
        <v>0.00</v>
      </c>
      <c r="H39" s="84">
        <v>4000</v>
      </c>
      <c r="I39" s="85">
        <v>6250</v>
      </c>
      <c r="K39" s="86" t="s">
        <v>209</v>
      </c>
      <c r="L39" s="84">
        <v>42</v>
      </c>
      <c r="M39" s="87">
        <v>0</v>
      </c>
      <c r="O39" s="106"/>
      <c r="Q39" s="107"/>
      <c r="R39" s="152"/>
      <c r="S39" s="108"/>
      <c r="U39" s="92">
        <v>7.21</v>
      </c>
      <c r="V39" s="93">
        <v>7.05</v>
      </c>
      <c r="W39" s="94">
        <v>6.49</v>
      </c>
      <c r="Y39" s="89">
        <v>16.6</v>
      </c>
      <c r="Z39" s="95">
        <v>16.1</v>
      </c>
      <c r="AA39" s="91">
        <v>15.9</v>
      </c>
      <c r="AC39" s="92">
        <v>10</v>
      </c>
      <c r="AD39" s="90">
        <v>0.2</v>
      </c>
      <c r="AE39" s="96">
        <v>0</v>
      </c>
      <c r="AG39" s="45">
        <f t="shared" si="2"/>
        <v>28</v>
      </c>
      <c r="AH39" s="281"/>
      <c r="AI39" s="97">
        <v>394</v>
      </c>
      <c r="AJ39" s="55">
        <f t="shared" si="3"/>
        <v>7186.394519999999</v>
      </c>
      <c r="AK39" s="97"/>
      <c r="AL39" s="55">
        <f t="shared" si="4"/>
      </c>
      <c r="AM39" s="97">
        <v>15</v>
      </c>
      <c r="AN39" s="55">
        <f t="shared" si="5"/>
        <v>273.5937</v>
      </c>
      <c r="AO39" s="109">
        <v>8</v>
      </c>
      <c r="AQ39" s="99">
        <v>406</v>
      </c>
      <c r="AR39" s="55">
        <f t="shared" si="6"/>
        <v>7405.269479999999</v>
      </c>
      <c r="AS39" s="97"/>
      <c r="AT39" s="55">
        <f t="shared" si="7"/>
      </c>
      <c r="AU39" s="97">
        <v>21</v>
      </c>
      <c r="AV39" s="55">
        <f t="shared" si="8"/>
        <v>383.03118</v>
      </c>
      <c r="AX39" s="99">
        <v>53866</v>
      </c>
      <c r="AY39" s="100">
        <v>3</v>
      </c>
      <c r="AZ39" s="101">
        <v>3.75</v>
      </c>
      <c r="BA39" s="97">
        <v>34.1</v>
      </c>
      <c r="BB39" s="101">
        <v>28</v>
      </c>
      <c r="BC39" s="97">
        <v>24</v>
      </c>
      <c r="BD39" s="97"/>
      <c r="BE39" s="102"/>
      <c r="BG39" s="99">
        <v>24</v>
      </c>
      <c r="BH39" s="83" t="s">
        <v>210</v>
      </c>
      <c r="BI39" s="103" t="s">
        <v>211</v>
      </c>
      <c r="BK39" s="17"/>
      <c r="BL39" s="19"/>
      <c r="BM39" s="26" t="s">
        <v>118</v>
      </c>
      <c r="BN39" s="20"/>
      <c r="BO39" s="153" t="s">
        <v>131</v>
      </c>
      <c r="BP39" s="26"/>
      <c r="BQ39" s="269" t="s">
        <v>150</v>
      </c>
      <c r="BR39" s="269" t="s">
        <v>150</v>
      </c>
      <c r="BS39" s="269" t="s">
        <v>150</v>
      </c>
      <c r="BT39" s="26"/>
      <c r="BU39" s="272">
        <v>85</v>
      </c>
      <c r="BV39" s="269" t="s">
        <v>150</v>
      </c>
      <c r="BW39" s="269" t="s">
        <v>150</v>
      </c>
      <c r="BX39" s="154" t="s">
        <v>129</v>
      </c>
      <c r="BY39" s="26"/>
      <c r="BZ39" s="269" t="s">
        <v>150</v>
      </c>
      <c r="CA39" s="270" t="s">
        <v>49</v>
      </c>
      <c r="CB39" s="154" t="s">
        <v>26</v>
      </c>
      <c r="CC39" s="136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4">
        <v>3160664</v>
      </c>
      <c r="D40" s="137">
        <f t="shared" si="0"/>
        <v>2.106</v>
      </c>
      <c r="E40" s="139">
        <v>4.2</v>
      </c>
      <c r="F40" s="140">
        <v>0.6</v>
      </c>
      <c r="G40" s="81" t="str">
        <f t="shared" si="1"/>
        <v>0.00</v>
      </c>
      <c r="H40" s="84">
        <v>1750</v>
      </c>
      <c r="I40" s="85">
        <v>8250</v>
      </c>
      <c r="K40" s="86" t="s">
        <v>209</v>
      </c>
      <c r="L40" s="84">
        <v>39</v>
      </c>
      <c r="M40" s="87">
        <v>0.32</v>
      </c>
      <c r="O40" s="106">
        <v>6</v>
      </c>
      <c r="Q40" s="107" t="s">
        <v>15</v>
      </c>
      <c r="R40" s="152" t="s">
        <v>15</v>
      </c>
      <c r="S40" s="108" t="s">
        <v>15</v>
      </c>
      <c r="U40" s="92">
        <v>7.19</v>
      </c>
      <c r="V40" s="93">
        <v>6.98</v>
      </c>
      <c r="W40" s="94">
        <v>7.26</v>
      </c>
      <c r="Y40" s="89">
        <v>16</v>
      </c>
      <c r="Z40" s="95">
        <v>15.6</v>
      </c>
      <c r="AA40" s="91">
        <v>15.7</v>
      </c>
      <c r="AC40" s="92">
        <v>7.5</v>
      </c>
      <c r="AD40" s="90">
        <v>0.01</v>
      </c>
      <c r="AE40" s="96">
        <v>0</v>
      </c>
      <c r="AG40" s="45">
        <f t="shared" si="2"/>
        <v>29</v>
      </c>
      <c r="AH40" s="281"/>
      <c r="AI40" s="97">
        <v>375</v>
      </c>
      <c r="AJ40" s="55">
        <f t="shared" si="3"/>
        <v>6586.515</v>
      </c>
      <c r="AK40" s="97">
        <v>223</v>
      </c>
      <c r="AL40" s="55">
        <f t="shared" si="4"/>
        <v>3916.7809199999997</v>
      </c>
      <c r="AM40" s="97">
        <v>15</v>
      </c>
      <c r="AN40" s="55">
        <f t="shared" si="5"/>
        <v>263.46059999999994</v>
      </c>
      <c r="AO40" s="109">
        <v>8</v>
      </c>
      <c r="AQ40" s="99">
        <v>336</v>
      </c>
      <c r="AR40" s="55">
        <f t="shared" si="6"/>
        <v>5901.51744</v>
      </c>
      <c r="AS40" s="97">
        <v>108</v>
      </c>
      <c r="AT40" s="55">
        <f t="shared" si="7"/>
        <v>1896.9163199999998</v>
      </c>
      <c r="AU40" s="97">
        <v>19</v>
      </c>
      <c r="AV40" s="55">
        <f t="shared" si="8"/>
        <v>333.71675999999997</v>
      </c>
      <c r="AX40" s="99"/>
      <c r="AY40" s="100"/>
      <c r="AZ40" s="101"/>
      <c r="BA40" s="97"/>
      <c r="BB40" s="101"/>
      <c r="BC40" s="97"/>
      <c r="BD40" s="97"/>
      <c r="BE40" s="102"/>
      <c r="BG40" s="99"/>
      <c r="BH40" s="83"/>
      <c r="BI40" s="103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4">
        <v>3162823</v>
      </c>
      <c r="D41" s="137">
        <f t="shared" si="0"/>
        <v>2.159</v>
      </c>
      <c r="E41" s="139">
        <v>3.6</v>
      </c>
      <c r="F41" s="140">
        <v>0.6</v>
      </c>
      <c r="G41" s="81" t="str">
        <f t="shared" si="1"/>
        <v>0.00</v>
      </c>
      <c r="H41" s="84">
        <v>0</v>
      </c>
      <c r="I41" s="85">
        <v>0</v>
      </c>
      <c r="K41" s="86" t="s">
        <v>208</v>
      </c>
      <c r="L41" s="84">
        <v>43</v>
      </c>
      <c r="M41" s="87">
        <v>0.21</v>
      </c>
      <c r="O41" s="106"/>
      <c r="Q41" s="107"/>
      <c r="R41" s="152"/>
      <c r="S41" s="108"/>
      <c r="U41" s="92">
        <v>7.13</v>
      </c>
      <c r="V41" s="93">
        <v>6.98</v>
      </c>
      <c r="W41" s="94">
        <v>6.66</v>
      </c>
      <c r="Y41" s="89">
        <v>15.4</v>
      </c>
      <c r="Z41" s="95">
        <v>15.5</v>
      </c>
      <c r="AA41" s="91">
        <v>15.3</v>
      </c>
      <c r="AC41" s="92">
        <v>5.5</v>
      </c>
      <c r="AD41" s="90">
        <v>0</v>
      </c>
      <c r="AE41" s="96">
        <v>0</v>
      </c>
      <c r="AG41" s="45">
        <f t="shared" si="2"/>
        <v>30</v>
      </c>
      <c r="AH41" s="281"/>
      <c r="AI41" s="97"/>
      <c r="AJ41" s="55">
        <f t="shared" si="3"/>
      </c>
      <c r="AK41" s="97"/>
      <c r="AL41" s="55">
        <f t="shared" si="4"/>
      </c>
      <c r="AM41" s="97"/>
      <c r="AN41" s="55">
        <f t="shared" si="5"/>
      </c>
      <c r="AO41" s="109"/>
      <c r="AQ41" s="99"/>
      <c r="AR41" s="55">
        <f t="shared" si="6"/>
      </c>
      <c r="AS41" s="97"/>
      <c r="AT41" s="55">
        <f t="shared" si="7"/>
      </c>
      <c r="AU41" s="97"/>
      <c r="AV41" s="55">
        <f t="shared" si="8"/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2">
        <v>3164882</v>
      </c>
      <c r="D42" s="138">
        <f t="shared" si="0"/>
        <v>2.059</v>
      </c>
      <c r="E42" s="141">
        <v>3.6</v>
      </c>
      <c r="F42" s="142">
        <v>0.6</v>
      </c>
      <c r="G42" s="183" t="str">
        <f t="shared" si="1"/>
        <v>0.00</v>
      </c>
      <c r="H42" s="112">
        <v>0</v>
      </c>
      <c r="I42" s="113">
        <v>0</v>
      </c>
      <c r="K42" s="114" t="s">
        <v>208</v>
      </c>
      <c r="L42" s="112">
        <v>58</v>
      </c>
      <c r="M42" s="115">
        <v>0.08</v>
      </c>
      <c r="O42" s="116"/>
      <c r="Q42" s="132"/>
      <c r="R42" s="111"/>
      <c r="S42" s="113"/>
      <c r="U42" s="133">
        <v>7.15</v>
      </c>
      <c r="V42" s="134">
        <v>6.91</v>
      </c>
      <c r="W42" s="135">
        <v>6.75</v>
      </c>
      <c r="Y42" s="132">
        <v>16</v>
      </c>
      <c r="Z42" s="112">
        <v>16.1</v>
      </c>
      <c r="AA42" s="113">
        <v>16.8</v>
      </c>
      <c r="AC42" s="133">
        <v>5</v>
      </c>
      <c r="AD42" s="111">
        <v>0.01</v>
      </c>
      <c r="AE42" s="115">
        <v>0</v>
      </c>
      <c r="AG42" s="45">
        <f t="shared" si="2"/>
        <v>31</v>
      </c>
      <c r="AH42" s="281"/>
      <c r="AI42" s="125"/>
      <c r="AJ42" s="65">
        <f t="shared" si="3"/>
      </c>
      <c r="AK42" s="125"/>
      <c r="AL42" s="65">
        <f t="shared" si="4"/>
      </c>
      <c r="AM42" s="125"/>
      <c r="AN42" s="65">
        <f t="shared" si="5"/>
      </c>
      <c r="AO42" s="126"/>
      <c r="AQ42" s="127"/>
      <c r="AR42" s="65">
        <f t="shared" si="6"/>
      </c>
      <c r="AS42" s="125"/>
      <c r="AT42" s="65">
        <f t="shared" si="7"/>
      </c>
      <c r="AU42" s="125"/>
      <c r="AV42" s="65">
        <f t="shared" si="8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1" t="s">
        <v>150</v>
      </c>
      <c r="BR43" s="271" t="s">
        <v>150</v>
      </c>
      <c r="BS43" s="271" t="s">
        <v>150</v>
      </c>
      <c r="BT43" s="26"/>
      <c r="BU43" s="68">
        <f>(AU49)</f>
        <v>91.875</v>
      </c>
      <c r="BV43" s="271" t="s">
        <v>150</v>
      </c>
      <c r="BW43" s="271" t="s">
        <v>150</v>
      </c>
      <c r="BX43" s="26" t="s">
        <v>129</v>
      </c>
      <c r="BY43" s="26"/>
      <c r="BZ43" s="26">
        <v>0</v>
      </c>
      <c r="CA43" s="266" t="s">
        <v>49</v>
      </c>
      <c r="CB43" s="26" t="s">
        <v>26</v>
      </c>
      <c r="CC43" s="136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8">
        <f>(IF(((SUM(C12:C42))=0)," ",((MAX(C12:C42))-C11)))</f>
        <v>68759</v>
      </c>
      <c r="D44" s="227">
        <f>(IF(((SUM(D12:D42))=0)," ",(SUM(D12:D42))))</f>
        <v>68.759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59100</v>
      </c>
      <c r="I44" s="195">
        <f>(IF(((SUM(I12:I42))=0)," ",(SUM(I12:I42))))</f>
        <v>181750</v>
      </c>
      <c r="K44" s="199" t="s">
        <v>150</v>
      </c>
      <c r="L44" s="200" t="s">
        <v>150</v>
      </c>
      <c r="M44" s="201">
        <f>(IF(((SUM(M12:M42))=0)," ",(SUM(M11:M42))))</f>
        <v>0.88</v>
      </c>
      <c r="O44" s="202">
        <f>(IF(((SUM(O12:O42))=0),"0.0",(SUM(O11:O42))))</f>
        <v>6</v>
      </c>
      <c r="Q44" s="198" t="str">
        <f>(IF(((SUM(Q12:Q42))=0),"0",(SUM(Q11:Q42))))</f>
        <v>0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369071</v>
      </c>
      <c r="AY44" s="200" t="s">
        <v>150</v>
      </c>
      <c r="AZ44" s="211">
        <f>(IF(((SUM(AZ12:AZ42))=0)," ",(SUM(AZ12:AZ42))))</f>
        <v>25.75</v>
      </c>
      <c r="BA44" s="198">
        <f>(IF(((SUM(BA12:BA42))=0)," ",(SUM(BA12:BA42))))</f>
        <v>254.2</v>
      </c>
      <c r="BB44" s="206" t="s">
        <v>150</v>
      </c>
      <c r="BC44" s="198">
        <f>(IF(((SUM(BC12:BC42))=0)," ",(SUM(BC12:BC42))))</f>
        <v>168</v>
      </c>
      <c r="BD44" s="188" t="str">
        <f>(IF(((SUM(BD12:BD42))=0)," ",(SUM(BD12:BD42))))</f>
        <v> </v>
      </c>
      <c r="BE44" s="209" t="s">
        <v>150</v>
      </c>
      <c r="BG44" s="198">
        <f>(IF(((SUM(BG12:BG42))=0)," ",(SUM(BG12:BG42))))</f>
        <v>168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69" t="s">
        <v>150</v>
      </c>
      <c r="BR44" s="269" t="s">
        <v>150</v>
      </c>
      <c r="BS44" s="269" t="s">
        <v>150</v>
      </c>
      <c r="BT44" s="26"/>
      <c r="BU44" s="272">
        <v>85</v>
      </c>
      <c r="BV44" s="269" t="s">
        <v>150</v>
      </c>
      <c r="BW44" s="269" t="s">
        <v>150</v>
      </c>
      <c r="BX44" s="154" t="s">
        <v>129</v>
      </c>
      <c r="BY44" s="26"/>
      <c r="BZ44" s="269" t="s">
        <v>150</v>
      </c>
      <c r="CA44" s="270" t="s">
        <v>49</v>
      </c>
      <c r="CB44" s="154" t="s">
        <v>26</v>
      </c>
      <c r="CC44" s="136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2.725</v>
      </c>
      <c r="E45" s="215">
        <f>(IF((SUM(E12:E42))=0," ",(MAX(E12:E42))))</f>
        <v>4.8</v>
      </c>
      <c r="F45" s="216">
        <f>(IF((SUM(F12:F42))=0," ",(MAX(F12:F42))))</f>
        <v>0.8</v>
      </c>
      <c r="G45" s="215">
        <f>(MAX(G12:G42))</f>
        <v>0</v>
      </c>
      <c r="H45" s="161">
        <f>(IF((SUM(H12:H42))=0," ",(MAX(H12:H42))))</f>
        <v>7250</v>
      </c>
      <c r="I45" s="162">
        <f>(IF((SUM(I12:I42))=0," ",(MAX(I12:I42))))</f>
        <v>12000</v>
      </c>
      <c r="K45" s="179" t="s">
        <v>150</v>
      </c>
      <c r="L45" s="182">
        <f>(IF((SUM(L12:L42))=0," ",(MAX(L12:L42))))</f>
        <v>59</v>
      </c>
      <c r="M45" s="218">
        <f>(IF((SUM(M12:M42))=0," ",(MAX(M12:M42))))</f>
        <v>0.32</v>
      </c>
      <c r="O45" s="219" t="s">
        <v>150</v>
      </c>
      <c r="Q45" s="220" t="s">
        <v>150</v>
      </c>
      <c r="R45" s="183" t="str">
        <f>(IF(((SUM(R12:R42))=0),"-",(MAX(R12:R42))))</f>
        <v>-</v>
      </c>
      <c r="S45" s="162" t="str">
        <f>(IF(((SUM(S12:S42))=0),"-",(MAX(S12:S42))))</f>
        <v>-</v>
      </c>
      <c r="U45" s="221">
        <f>(IF((SUM(U12:U42))=0," ",(MAX(U12:U42))))</f>
        <v>7.35</v>
      </c>
      <c r="V45" s="182">
        <f>(IF((SUM(V12:V42))=0," ",(MAX(V12:V42))))</f>
        <v>7.11</v>
      </c>
      <c r="W45" s="222">
        <f>(IF((SUM(W12:W42))=0," ",(MAX(W12:W42))))</f>
        <v>7.26</v>
      </c>
      <c r="Y45" s="217">
        <f>(IF((SUM(Y12:Y42))=0," ",(MAX(Y12:Y42))))</f>
        <v>17.9</v>
      </c>
      <c r="Z45" s="161">
        <f>(IF((SUM(Z12:Z42))=0," ",(MAX(Z12:Z42))))</f>
        <v>17.6</v>
      </c>
      <c r="AA45" s="162">
        <f>(IF((SUM(AA12:AA42))=0," ",(MAX(AA12:AA42))))</f>
        <v>18.4</v>
      </c>
      <c r="AC45" s="221">
        <f>(IF((SUM(AC12:AC42))=0," ",(MAX(AC12:AC42))))</f>
        <v>50</v>
      </c>
      <c r="AD45" s="183">
        <f>(IF((SUM(AD12:AD42))=0," ",(MAX(AD12:AD42))))</f>
        <v>0.2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394</v>
      </c>
      <c r="AJ45" s="161">
        <f t="shared" si="9"/>
        <v>7186.394519999999</v>
      </c>
      <c r="AK45" s="217">
        <f t="shared" si="9"/>
        <v>223</v>
      </c>
      <c r="AL45" s="162">
        <f t="shared" si="9"/>
        <v>3916.7809199999997</v>
      </c>
      <c r="AM45" s="217">
        <f t="shared" si="9"/>
        <v>27</v>
      </c>
      <c r="AN45" s="162">
        <f t="shared" si="9"/>
        <v>515.6622</v>
      </c>
      <c r="AO45" s="223">
        <f t="shared" si="9"/>
        <v>15</v>
      </c>
      <c r="AQ45" s="217">
        <f aca="true" t="shared" si="10" ref="AQ45:AV45">(IF((SUM(AQ12:AQ42))=0," ",(MAX(AQ12:AQ42))))</f>
        <v>406</v>
      </c>
      <c r="AR45" s="162">
        <f t="shared" si="10"/>
        <v>7901.149200000001</v>
      </c>
      <c r="AS45" s="217">
        <f t="shared" si="10"/>
        <v>108</v>
      </c>
      <c r="AT45" s="162">
        <f t="shared" si="10"/>
        <v>1896.9163199999998</v>
      </c>
      <c r="AU45" s="217">
        <f t="shared" si="10"/>
        <v>40</v>
      </c>
      <c r="AV45" s="162">
        <f t="shared" si="10"/>
        <v>763.944</v>
      </c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30</v>
      </c>
      <c r="BC45" s="220" t="s">
        <v>150</v>
      </c>
      <c r="BD45" s="178" t="s">
        <v>150</v>
      </c>
      <c r="BE45" s="218" t="str">
        <f>(IF((SUM(BE12:BE42))=0," ",(MAX(BE12:BE42))))</f>
        <v> </v>
      </c>
      <c r="BG45" s="220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1.964</v>
      </c>
      <c r="E46" s="226">
        <f>(IF((SUM(E12:E42))=0," ",(MIN(E12:E42))))</f>
        <v>3.6</v>
      </c>
      <c r="F46" s="227">
        <f>(IF((SUM(F12:F42))=0," ",(MIN(F12:F42))))</f>
        <v>0.4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39</v>
      </c>
      <c r="M46" s="201">
        <f>(IF((SUM(M12:M42))=0," ",(MIN(M12:M42))))</f>
        <v>0</v>
      </c>
      <c r="O46" s="228" t="s">
        <v>150</v>
      </c>
      <c r="Q46" s="207" t="s">
        <v>150</v>
      </c>
      <c r="R46" s="190" t="str">
        <f>(IF(((SUM(R12:R42))=0),"-",(MIN(R12:R42))))</f>
        <v>-</v>
      </c>
      <c r="S46" s="195" t="str">
        <f>(IF(((SUM(S12:S42))=0),"-",(MIN(S12:S42))))</f>
        <v>-</v>
      </c>
      <c r="U46" s="229">
        <f>(IF((SUM(U12:U42))=0," ",(MIN(U12:U42))))</f>
        <v>6.94</v>
      </c>
      <c r="V46" s="191">
        <f>(IF((SUM(V12:V42))=0," ",(MIN(V12:V42))))</f>
        <v>6.88</v>
      </c>
      <c r="W46" s="211">
        <f>(IF((SUM(W12:W42))=0," ",(MIN(W12:W42))))</f>
        <v>6.16</v>
      </c>
      <c r="Y46" s="198">
        <f aca="true" t="shared" si="11" ref="Y46:AD46">(IF((SUM(Y12:Y42))=0," ",(MIN(Y12:Y42))))</f>
        <v>15.4</v>
      </c>
      <c r="Z46" s="188">
        <f t="shared" si="11"/>
        <v>15.5</v>
      </c>
      <c r="AA46" s="195">
        <f t="shared" si="11"/>
        <v>15.3</v>
      </c>
      <c r="AB46" s="265" t="str">
        <f t="shared" si="11"/>
        <v> </v>
      </c>
      <c r="AC46" s="229">
        <f t="shared" si="11"/>
        <v>1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267</v>
      </c>
      <c r="AJ46" s="188">
        <f t="shared" si="12"/>
        <v>4798.7109</v>
      </c>
      <c r="AK46" s="198">
        <f t="shared" si="12"/>
        <v>162</v>
      </c>
      <c r="AL46" s="195">
        <f t="shared" si="12"/>
        <v>3148.0164000000004</v>
      </c>
      <c r="AM46" s="198">
        <f t="shared" si="12"/>
        <v>12</v>
      </c>
      <c r="AN46" s="195">
        <f t="shared" si="12"/>
        <v>215.67239999999998</v>
      </c>
      <c r="AO46" s="230">
        <f t="shared" si="12"/>
        <v>7</v>
      </c>
      <c r="AQ46" s="198">
        <f aca="true" t="shared" si="13" ref="AQ46:AV46">(IF((SUM(AQ12:AQ42))=0," ",(MIN(AQ12:AQ42))))</f>
        <v>254</v>
      </c>
      <c r="AR46" s="195">
        <f t="shared" si="13"/>
        <v>4565.0658</v>
      </c>
      <c r="AS46" s="198">
        <f t="shared" si="13"/>
        <v>83</v>
      </c>
      <c r="AT46" s="195">
        <f t="shared" si="13"/>
        <v>1513.2096</v>
      </c>
      <c r="AU46" s="198">
        <f t="shared" si="13"/>
        <v>19</v>
      </c>
      <c r="AV46" s="195">
        <f t="shared" si="13"/>
        <v>333.71675999999997</v>
      </c>
      <c r="AX46" s="207" t="s">
        <v>150</v>
      </c>
      <c r="AY46" s="191">
        <f>(IF((SUM(AY12:AY42))=0," ",(MIN(AY12:AY42))))</f>
        <v>3</v>
      </c>
      <c r="AZ46" s="206" t="s">
        <v>150</v>
      </c>
      <c r="BA46" s="207" t="s">
        <v>150</v>
      </c>
      <c r="BB46" s="211">
        <f>(IF((SUM(BB12:BB42))=0," ",(MIN(BB12:BB42))))</f>
        <v>27</v>
      </c>
      <c r="BC46" s="207" t="s">
        <v>150</v>
      </c>
      <c r="BD46" s="208" t="s">
        <v>150</v>
      </c>
      <c r="BE46" s="201" t="str">
        <f>(IF((SUM(BE12:BE42))=0," ",(MIN(BE12:BE42))))</f>
        <v> </v>
      </c>
      <c r="BG46" s="207" t="s">
        <v>150</v>
      </c>
      <c r="BH46" s="213" t="s">
        <v>150</v>
      </c>
      <c r="BI46" s="214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2.218032258064516</v>
      </c>
      <c r="E47" s="215">
        <f>(IF((SUM(E12:E42))=0," ",(AVERAGE(E12:E42))))</f>
        <v>3.9451612903225795</v>
      </c>
      <c r="F47" s="216">
        <f>(IF((SUM(F12:F42))=0," ",(AVERAGE(F12:F42))))</f>
        <v>0.535483870967742</v>
      </c>
      <c r="G47" s="215" t="str">
        <f>(IF((SUM(G12:G42))=0,"0.000",(AVERAGE(G12:G42))))</f>
        <v>0.000</v>
      </c>
      <c r="H47" s="161">
        <f>(IF((SUM(H12:H42))=0," ",(AVERAGE(H12:H42))))</f>
        <v>1906.4516129032259</v>
      </c>
      <c r="I47" s="162">
        <f>(IF((SUM(I12:I42))=0," ",(AVERAGE(I12:I42))))</f>
        <v>5862.903225806452</v>
      </c>
      <c r="K47" s="179" t="s">
        <v>150</v>
      </c>
      <c r="L47" s="182">
        <f>(IF((SUM(L12:L42))=0," ",(AVERAGE(L12:L42))))</f>
        <v>49.41935483870968</v>
      </c>
      <c r="M47" s="218">
        <f>(IF((SUM(M12:M42))=0," ",(AVERAGE(M12:M42))))</f>
        <v>0.02838709677419355</v>
      </c>
      <c r="O47" s="219" t="s">
        <v>150</v>
      </c>
      <c r="Q47" s="217" t="str">
        <f>(IF((SUM(Q12:Q42))=0," ",(AVERAGE(Q12:Q42))))</f>
        <v> </v>
      </c>
      <c r="R47" s="232" t="s">
        <v>150</v>
      </c>
      <c r="S47" s="233" t="s">
        <v>150</v>
      </c>
      <c r="U47" s="221">
        <f>(IF((SUM(U12:U42))=0," ",(AVERAGE(U12:U42))))</f>
        <v>7.147096774193548</v>
      </c>
      <c r="V47" s="182">
        <f>(IF((SUM(V12:V42))=0," ",(AVERAGE(V12:V42))))</f>
        <v>7.0206451612903225</v>
      </c>
      <c r="W47" s="222">
        <f>(IF((SUM(W12:W42))=0," ",(AVERAGE(W12:W42))))</f>
        <v>6.700967741935484</v>
      </c>
      <c r="Y47" s="217">
        <f>(IF((SUM(Y12:Y42))=0," ",(AVERAGE(Y12:Y42))))</f>
        <v>16.780645161290323</v>
      </c>
      <c r="Z47" s="161">
        <f>(IF((SUM(Z12:Z42))=0," ",(AVERAGE(Z12:Z42))))</f>
        <v>16.6</v>
      </c>
      <c r="AA47" s="162">
        <f>(IF((SUM(AA12:AA42))=0," ",(AVERAGE(AA12:AA42))))</f>
        <v>17.11612903225806</v>
      </c>
      <c r="AC47" s="221">
        <f>(IF((SUM(AC12:AC42))=0," ",(AVERAGE(AC12:AC42))))</f>
        <v>8.17741935483871</v>
      </c>
      <c r="AD47" s="183">
        <f>(IF((SUM(AD12:AD42))=0," ",(AVERAGE(AD12:AD42))))</f>
        <v>0.04129032258064516</v>
      </c>
      <c r="AE47" s="218">
        <f>(IF((COUNT(AE12:AE42))=0," ",(AVERAGE(AE12:AE42))))</f>
        <v>0.0012903225806451613</v>
      </c>
      <c r="AG47" s="26" t="str">
        <f>($A47)</f>
        <v>Average</v>
      </c>
      <c r="AI47" s="161">
        <f aca="true" t="shared" si="14" ref="AI47:AO47">(IF((SUM(AI12:AI42))=0," ",(AVERAGE(AI12:AI42))))</f>
        <v>333.53846153846155</v>
      </c>
      <c r="AJ47" s="161">
        <f t="shared" si="14"/>
        <v>6168.382684615384</v>
      </c>
      <c r="AK47" s="217">
        <f t="shared" si="14"/>
        <v>186.8</v>
      </c>
      <c r="AL47" s="162">
        <f t="shared" si="14"/>
        <v>3425.1879600000007</v>
      </c>
      <c r="AM47" s="217">
        <f t="shared" si="14"/>
        <v>16.53846153846154</v>
      </c>
      <c r="AN47" s="162">
        <f t="shared" si="14"/>
        <v>307.3495292307692</v>
      </c>
      <c r="AO47" s="223">
        <f t="shared" si="14"/>
        <v>9.23076923076923</v>
      </c>
      <c r="AQ47" s="217">
        <f aca="true" t="shared" si="15" ref="AQ47:AV47">(IF((SUM(AQ12:AQ42))=0," ",(AVERAGE(AQ12:AQ42))))</f>
        <v>320</v>
      </c>
      <c r="AR47" s="162">
        <f t="shared" si="15"/>
        <v>5932.647452307691</v>
      </c>
      <c r="AS47" s="217">
        <f t="shared" si="15"/>
        <v>93.4</v>
      </c>
      <c r="AT47" s="162">
        <f t="shared" si="15"/>
        <v>1717.3227600000002</v>
      </c>
      <c r="AU47" s="217">
        <f t="shared" si="15"/>
        <v>26</v>
      </c>
      <c r="AV47" s="162">
        <f t="shared" si="15"/>
        <v>483.92015999999995</v>
      </c>
      <c r="AX47" s="217">
        <f aca="true" t="shared" si="16" ref="AX47:BE47">(IF((SUM(AX12:AX42))=0," ",(AVERAGE(AX12:AX42))))</f>
        <v>46133.875</v>
      </c>
      <c r="AY47" s="182">
        <f t="shared" si="16"/>
        <v>3.25</v>
      </c>
      <c r="AZ47" s="222">
        <f t="shared" si="16"/>
        <v>3.21875</v>
      </c>
      <c r="BA47" s="217">
        <f t="shared" si="16"/>
        <v>31.775</v>
      </c>
      <c r="BB47" s="222">
        <f t="shared" si="16"/>
        <v>28.375</v>
      </c>
      <c r="BC47" s="217">
        <f t="shared" si="16"/>
        <v>21</v>
      </c>
      <c r="BD47" s="161" t="str">
        <f t="shared" si="16"/>
        <v> </v>
      </c>
      <c r="BE47" s="218" t="str">
        <f t="shared" si="16"/>
        <v> </v>
      </c>
      <c r="BG47" s="217">
        <f>(IF((SUM(BG12:BG42))=0," ",(AVERAGE(BG12:BG42))))</f>
        <v>21</v>
      </c>
      <c r="BH47" s="180" t="s">
        <v>150</v>
      </c>
      <c r="BI47" s="181" t="s">
        <v>150</v>
      </c>
      <c r="BK47" s="20"/>
      <c r="BL47" s="20"/>
      <c r="BM47" s="20"/>
      <c r="BN47" s="20"/>
      <c r="BO47" s="20"/>
      <c r="BP47" s="20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20"/>
      <c r="BL48" s="20"/>
      <c r="BM48" s="20"/>
      <c r="BN48" s="20"/>
      <c r="BO48" s="26"/>
      <c r="BP48" s="20"/>
      <c r="BQ48" s="298"/>
      <c r="BR48" s="299"/>
      <c r="BS48" s="298"/>
      <c r="BT48" s="26"/>
      <c r="BU48" s="299"/>
      <c r="BV48" s="58"/>
      <c r="BW48" s="58"/>
      <c r="BX48" s="299"/>
      <c r="BY48" s="26"/>
      <c r="BZ48" s="26"/>
      <c r="CA48" s="75"/>
      <c r="CB48" s="26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 t="str">
        <f>(IF(((SUM(S12:S42))=0),"-",(GEOMEAN(S12:S42))))</f>
        <v>-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95.01734012065542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91.875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40"/>
      <c r="BL49" s="240"/>
      <c r="BM49" s="104"/>
      <c r="BN49" s="240"/>
      <c r="BO49" s="104"/>
      <c r="BP49" s="240"/>
      <c r="BQ49" s="300"/>
      <c r="BR49" s="301"/>
      <c r="BS49" s="300"/>
      <c r="BT49" s="104"/>
      <c r="BU49" s="301"/>
      <c r="BV49" s="143"/>
      <c r="BW49" s="143"/>
      <c r="BX49" s="146"/>
      <c r="BY49" s="104"/>
      <c r="BZ49" s="301"/>
      <c r="CA49" s="148"/>
      <c r="CB49" s="104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40"/>
      <c r="BL52" s="240"/>
      <c r="BM52" s="240"/>
      <c r="BN52" s="240"/>
      <c r="BO52" s="240"/>
      <c r="BP52" s="240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11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40"/>
      <c r="BL53" s="240"/>
      <c r="BM53" s="240"/>
      <c r="BN53" s="240"/>
      <c r="BO53" s="104"/>
      <c r="BP53" s="240"/>
      <c r="BQ53" s="300"/>
      <c r="BR53" s="301"/>
      <c r="BS53" s="300"/>
      <c r="BT53" s="104"/>
      <c r="BU53" s="301"/>
      <c r="BV53" s="301"/>
      <c r="BW53" s="146"/>
      <c r="BX53" s="301"/>
      <c r="BY53" s="104"/>
      <c r="BZ53" s="104"/>
      <c r="CA53" s="148"/>
      <c r="CB53" s="104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11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40"/>
      <c r="BL54" s="240"/>
      <c r="BM54" s="104"/>
      <c r="BN54" s="240"/>
      <c r="BO54" s="104"/>
      <c r="BP54" s="240"/>
      <c r="BQ54" s="300"/>
      <c r="BR54" s="301"/>
      <c r="BS54" s="300"/>
      <c r="BT54" s="104"/>
      <c r="BU54" s="301"/>
      <c r="BV54" s="301"/>
      <c r="BW54" s="146"/>
      <c r="BX54" s="146"/>
      <c r="BY54" s="104"/>
      <c r="BZ54" s="301"/>
      <c r="CA54" s="144"/>
      <c r="CB54" s="104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11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11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11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11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11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11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60" r:id="rId1"/>
  <colBreaks count="2" manualBreakCount="2">
    <brk id="32" max="50" man="1"/>
    <brk id="62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200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November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November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0">
        <v>3164882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4">
        <v>3166916</v>
      </c>
      <c r="D12" s="137">
        <f aca="true" t="shared" si="0" ref="D12:D42">(IF(C12=0," ",((C12-C11)/1000)))</f>
        <v>2.034</v>
      </c>
      <c r="E12" s="139">
        <v>3.6</v>
      </c>
      <c r="F12" s="140">
        <v>0.4</v>
      </c>
      <c r="G12" s="81" t="str">
        <f aca="true" t="shared" si="1" ref="G12:G42">(IF(C12=0," ","0.00"))</f>
        <v>0.00</v>
      </c>
      <c r="H12" s="84">
        <v>3000</v>
      </c>
      <c r="I12" s="85">
        <v>750</v>
      </c>
      <c r="J12" s="11"/>
      <c r="K12" s="86" t="s">
        <v>209</v>
      </c>
      <c r="L12" s="84">
        <v>49</v>
      </c>
      <c r="M12" s="87">
        <v>0</v>
      </c>
      <c r="N12" s="11"/>
      <c r="O12" s="88"/>
      <c r="P12" s="11"/>
      <c r="Q12" s="89"/>
      <c r="R12" s="90"/>
      <c r="S12" s="91"/>
      <c r="T12" s="11"/>
      <c r="U12" s="92">
        <v>7.17</v>
      </c>
      <c r="V12" s="93">
        <v>5.73</v>
      </c>
      <c r="W12" s="94">
        <v>6.76</v>
      </c>
      <c r="X12" s="11"/>
      <c r="Y12" s="89">
        <v>16.4</v>
      </c>
      <c r="Z12" s="95">
        <v>16.3</v>
      </c>
      <c r="AA12" s="91">
        <v>16.9</v>
      </c>
      <c r="AB12" s="11"/>
      <c r="AC12" s="92">
        <v>18</v>
      </c>
      <c r="AD12" s="90">
        <v>2.5</v>
      </c>
      <c r="AE12" s="96">
        <v>0</v>
      </c>
      <c r="AF12" s="11"/>
      <c r="AG12" s="45">
        <f aca="true" t="shared" si="2" ref="AG12:AG42">($A12)</f>
        <v>1</v>
      </c>
      <c r="AH12" s="282"/>
      <c r="AI12" s="97"/>
      <c r="AJ12" s="55">
        <f aca="true" t="shared" si="3" ref="AJ12:AJ42">IF(AI12=0,"",(D12*AI12*8.34))</f>
      </c>
      <c r="AK12" s="97"/>
      <c r="AL12" s="55">
        <f aca="true" t="shared" si="4" ref="AL12:AL42">IF(AK12=0,"",(D12*AK12*8.34))</f>
      </c>
      <c r="AM12" s="97"/>
      <c r="AN12" s="55">
        <f aca="true" t="shared" si="5" ref="AN12:AN42">IF(AM12=0,"",(D12*AM12*8.34))</f>
      </c>
      <c r="AO12" s="98"/>
      <c r="AP12" s="11"/>
      <c r="AQ12" s="99"/>
      <c r="AR12" s="55">
        <f aca="true" t="shared" si="6" ref="AR12:AR42">IF(AQ12=0,"",(D12*AQ12*8.34))</f>
      </c>
      <c r="AS12" s="97"/>
      <c r="AT12" s="55">
        <f aca="true" t="shared" si="7" ref="AT12:AT42">IF(AS12=0,"",(D12*AS12*8.34))</f>
      </c>
      <c r="AU12" s="97"/>
      <c r="AV12" s="55">
        <f aca="true" t="shared" si="8" ref="AV12:AV42">IF(AU12=0,"",(D12*AU12*8.34))</f>
      </c>
      <c r="AW12" s="11"/>
      <c r="AX12" s="99">
        <v>54170</v>
      </c>
      <c r="AY12" s="100">
        <v>3</v>
      </c>
      <c r="AZ12" s="101">
        <v>3.75</v>
      </c>
      <c r="BA12" s="97">
        <v>37.2</v>
      </c>
      <c r="BB12" s="101">
        <v>27</v>
      </c>
      <c r="BC12" s="97">
        <v>24</v>
      </c>
      <c r="BD12" s="97"/>
      <c r="BE12" s="102"/>
      <c r="BF12" s="11"/>
      <c r="BG12" s="99">
        <v>24</v>
      </c>
      <c r="BH12" s="83" t="s">
        <v>210</v>
      </c>
      <c r="BI12" s="103" t="s">
        <v>211</v>
      </c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5">
        <f>(IF(((SUM(AN12:AN42))=0)," ",(AVERAGE(AN12:AN42))))</f>
        <v>318.00698000000006</v>
      </c>
      <c r="BR12" s="185">
        <f>MAX(AN12:AN42)</f>
        <v>408.243</v>
      </c>
      <c r="BS12" s="26" t="s">
        <v>126</v>
      </c>
      <c r="BT12" s="26"/>
      <c r="BU12" s="185">
        <f>(IF(((SUM(AM12:AM42))=0)," ",(AVERAGE(AM12:AM42))))</f>
        <v>17.583333333333332</v>
      </c>
      <c r="BV12" s="58">
        <f>(CG23)</f>
        <v>20.333333333333332</v>
      </c>
      <c r="BW12" s="185">
        <f>MAX(AM12:AM42)</f>
        <v>22</v>
      </c>
      <c r="BX12" s="26" t="s">
        <v>128</v>
      </c>
      <c r="BY12" s="26"/>
      <c r="BZ12" s="26">
        <v>0</v>
      </c>
      <c r="CA12" s="266" t="s">
        <v>47</v>
      </c>
      <c r="CB12" s="26">
        <v>24</v>
      </c>
      <c r="CC12" s="136"/>
      <c r="CE12" s="24"/>
      <c r="CF12" s="20" t="s">
        <v>138</v>
      </c>
      <c r="CG12" s="105">
        <f>(IF(((SUM(AM14:AM16))=0)," ",(AVERAGE(AM14:AM16))))</f>
        <v>16</v>
      </c>
      <c r="CH12" s="105">
        <f>(IF(((SUM(AN14:AN16))=0)," ",(AVERAGE(AN14:AN16))))</f>
        <v>301.38536</v>
      </c>
      <c r="CI12" s="279"/>
      <c r="CJ12" s="105">
        <f>(IF(((SUM(AU14:AU16))=0)," ",(AVERAGE(AU14:AU16))))</f>
        <v>22.333333333333332</v>
      </c>
      <c r="CK12" s="105">
        <f>(IF(((SUM(AV14:AV16))=0)," ",(AVERAGE(AV14:AV16))))</f>
        <v>421.05046</v>
      </c>
      <c r="CL12" s="53"/>
      <c r="CM12" s="151">
        <f>(AVERAGE(AE12:AE17))</f>
        <v>0.0033333333333333335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4">
        <v>3168997</v>
      </c>
      <c r="D13" s="137">
        <f t="shared" si="0"/>
        <v>2.081</v>
      </c>
      <c r="E13" s="139">
        <v>4</v>
      </c>
      <c r="F13" s="140">
        <v>0.6</v>
      </c>
      <c r="G13" s="81" t="str">
        <f t="shared" si="1"/>
        <v>0.00</v>
      </c>
      <c r="H13" s="84">
        <v>1000</v>
      </c>
      <c r="I13" s="85">
        <v>9000</v>
      </c>
      <c r="J13" s="11"/>
      <c r="K13" s="86" t="s">
        <v>209</v>
      </c>
      <c r="L13" s="84">
        <v>42</v>
      </c>
      <c r="M13" s="87">
        <v>0.21</v>
      </c>
      <c r="N13" s="11"/>
      <c r="O13" s="106"/>
      <c r="P13" s="11"/>
      <c r="Q13" s="107"/>
      <c r="R13" s="152"/>
      <c r="S13" s="108"/>
      <c r="T13" s="11"/>
      <c r="U13" s="92">
        <v>7.15</v>
      </c>
      <c r="V13" s="93">
        <v>7.04</v>
      </c>
      <c r="W13" s="94">
        <v>7.07</v>
      </c>
      <c r="X13" s="11"/>
      <c r="Y13" s="89">
        <v>16</v>
      </c>
      <c r="Z13" s="95">
        <v>15.8</v>
      </c>
      <c r="AA13" s="91">
        <v>16.2</v>
      </c>
      <c r="AB13" s="11"/>
      <c r="AC13" s="92">
        <v>7.5</v>
      </c>
      <c r="AD13" s="90">
        <v>0.01</v>
      </c>
      <c r="AE13" s="96">
        <v>0.01</v>
      </c>
      <c r="AF13" s="11"/>
      <c r="AG13" s="45">
        <f t="shared" si="2"/>
        <v>2</v>
      </c>
      <c r="AH13" s="282"/>
      <c r="AI13" s="97"/>
      <c r="AJ13" s="55">
        <f t="shared" si="3"/>
      </c>
      <c r="AK13" s="97"/>
      <c r="AL13" s="55">
        <f t="shared" si="4"/>
      </c>
      <c r="AM13" s="97"/>
      <c r="AN13" s="55">
        <f t="shared" si="5"/>
      </c>
      <c r="AO13" s="109"/>
      <c r="AP13" s="11"/>
      <c r="AQ13" s="99"/>
      <c r="AR13" s="55">
        <f t="shared" si="6"/>
      </c>
      <c r="AS13" s="97"/>
      <c r="AT13" s="55">
        <f t="shared" si="7"/>
      </c>
      <c r="AU13" s="97"/>
      <c r="AV13" s="55">
        <f t="shared" si="8"/>
      </c>
      <c r="AW13" s="11"/>
      <c r="AX13" s="99"/>
      <c r="AY13" s="100"/>
      <c r="AZ13" s="101"/>
      <c r="BA13" s="97"/>
      <c r="BB13" s="101"/>
      <c r="BC13" s="97"/>
      <c r="BD13" s="97"/>
      <c r="BE13" s="102"/>
      <c r="BF13" s="11"/>
      <c r="BG13" s="99"/>
      <c r="BH13" s="83"/>
      <c r="BI13" s="103"/>
      <c r="BJ13" s="11"/>
      <c r="BK13" s="17"/>
      <c r="BL13" s="19"/>
      <c r="BM13" s="26" t="s">
        <v>86</v>
      </c>
      <c r="BN13" s="20"/>
      <c r="BO13" s="153" t="s">
        <v>131</v>
      </c>
      <c r="BP13" s="26"/>
      <c r="BQ13" s="267">
        <v>963</v>
      </c>
      <c r="BR13" s="267">
        <v>1605</v>
      </c>
      <c r="BS13" s="154" t="s">
        <v>126</v>
      </c>
      <c r="BT13" s="26"/>
      <c r="BU13" s="267">
        <v>30</v>
      </c>
      <c r="BV13" s="268">
        <v>45</v>
      </c>
      <c r="BW13" s="267">
        <v>50</v>
      </c>
      <c r="BX13" s="154" t="s">
        <v>128</v>
      </c>
      <c r="BY13" s="26"/>
      <c r="BZ13" s="269" t="s">
        <v>150</v>
      </c>
      <c r="CA13" s="270" t="s">
        <v>47</v>
      </c>
      <c r="CB13" s="154">
        <v>24</v>
      </c>
      <c r="CC13" s="136"/>
      <c r="CE13" s="24"/>
      <c r="CF13" s="20"/>
      <c r="CG13" s="279"/>
      <c r="CH13" s="279"/>
      <c r="CI13" s="279"/>
      <c r="CJ13" s="279"/>
      <c r="CK13" s="279"/>
      <c r="CL13" s="53"/>
      <c r="CM13" s="280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4">
        <v>3171222</v>
      </c>
      <c r="D14" s="137">
        <f t="shared" si="0"/>
        <v>2.225</v>
      </c>
      <c r="E14" s="139">
        <v>3.7</v>
      </c>
      <c r="F14" s="140">
        <v>0.6</v>
      </c>
      <c r="G14" s="81" t="str">
        <f t="shared" si="1"/>
        <v>0.00</v>
      </c>
      <c r="H14" s="84">
        <v>2150</v>
      </c>
      <c r="I14" s="85">
        <v>6250</v>
      </c>
      <c r="K14" s="86" t="s">
        <v>209</v>
      </c>
      <c r="L14" s="84">
        <v>43</v>
      </c>
      <c r="M14" s="87">
        <v>0.35</v>
      </c>
      <c r="O14" s="106"/>
      <c r="Q14" s="107" t="s">
        <v>10</v>
      </c>
      <c r="R14" s="152" t="s">
        <v>10</v>
      </c>
      <c r="S14" s="108" t="s">
        <v>10</v>
      </c>
      <c r="U14" s="92">
        <v>7.14</v>
      </c>
      <c r="V14" s="93">
        <v>6.9</v>
      </c>
      <c r="W14" s="94">
        <v>6.54</v>
      </c>
      <c r="Y14" s="89">
        <v>16</v>
      </c>
      <c r="Z14" s="95">
        <v>15.5</v>
      </c>
      <c r="AA14" s="91">
        <v>16.1</v>
      </c>
      <c r="AC14" s="92">
        <v>6</v>
      </c>
      <c r="AD14" s="90">
        <v>0.01</v>
      </c>
      <c r="AE14" s="96">
        <v>0</v>
      </c>
      <c r="AG14" s="45">
        <f t="shared" si="2"/>
        <v>3</v>
      </c>
      <c r="AH14" s="281"/>
      <c r="AI14" s="97">
        <v>312</v>
      </c>
      <c r="AJ14" s="55">
        <f t="shared" si="3"/>
        <v>5789.628000000001</v>
      </c>
      <c r="AK14" s="97"/>
      <c r="AL14" s="55">
        <f t="shared" si="4"/>
      </c>
      <c r="AM14" s="97">
        <v>15</v>
      </c>
      <c r="AN14" s="55">
        <f t="shared" si="5"/>
        <v>278.34749999999997</v>
      </c>
      <c r="AO14" s="109">
        <v>8</v>
      </c>
      <c r="AQ14" s="99">
        <v>300</v>
      </c>
      <c r="AR14" s="55">
        <f t="shared" si="6"/>
        <v>5566.95</v>
      </c>
      <c r="AS14" s="97"/>
      <c r="AT14" s="55">
        <f t="shared" si="7"/>
      </c>
      <c r="AU14" s="97">
        <v>21</v>
      </c>
      <c r="AV14" s="55">
        <f t="shared" si="8"/>
        <v>389.6865</v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(IF(((SUM(AM21:AM23))=0)," ",(AVERAGE(AM21:AM23))))</f>
        <v>17</v>
      </c>
      <c r="CH14" s="105">
        <f>(IF(((SUM(AN21:AN23))=0)," ",(AVERAGE(AN21:AN23))))</f>
        <v>304.98268</v>
      </c>
      <c r="CI14" s="279"/>
      <c r="CJ14" s="105">
        <f>(IF(((SUM(AU21:AU23))=0)," ",(AVERAGE(AU21:AU23))))</f>
        <v>22.666666666666668</v>
      </c>
      <c r="CK14" s="105">
        <f>(IF(((SUM(AV21:AV23))=0)," ",(AVERAGE(AV21:AV23))))</f>
        <v>406.41097999999994</v>
      </c>
      <c r="CL14" s="53"/>
      <c r="CM14" s="151">
        <f>(AVERAGE(AE18:AE24))</f>
        <v>0.002857142857142857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4">
        <v>3173345</v>
      </c>
      <c r="D15" s="137">
        <f t="shared" si="0"/>
        <v>2.123</v>
      </c>
      <c r="E15" s="139">
        <v>3.8</v>
      </c>
      <c r="F15" s="140">
        <v>0.6</v>
      </c>
      <c r="G15" s="81" t="str">
        <f t="shared" si="1"/>
        <v>0.00</v>
      </c>
      <c r="H15" s="84">
        <v>1000</v>
      </c>
      <c r="I15" s="85">
        <v>6500</v>
      </c>
      <c r="K15" s="86" t="s">
        <v>209</v>
      </c>
      <c r="L15" s="84">
        <v>39</v>
      </c>
      <c r="M15" s="87">
        <v>0.38</v>
      </c>
      <c r="O15" s="106"/>
      <c r="Q15" s="107"/>
      <c r="R15" s="152"/>
      <c r="S15" s="108"/>
      <c r="U15" s="92">
        <v>7.35</v>
      </c>
      <c r="V15" s="93">
        <v>7</v>
      </c>
      <c r="W15" s="94">
        <v>6.71</v>
      </c>
      <c r="Y15" s="89">
        <v>15.5</v>
      </c>
      <c r="Z15" s="95">
        <v>14.9</v>
      </c>
      <c r="AA15" s="91">
        <v>14.6</v>
      </c>
      <c r="AC15" s="92">
        <v>10</v>
      </c>
      <c r="AD15" s="90">
        <v>0.1</v>
      </c>
      <c r="AE15" s="96">
        <v>0.01</v>
      </c>
      <c r="AG15" s="45">
        <f t="shared" si="2"/>
        <v>4</v>
      </c>
      <c r="AH15" s="281"/>
      <c r="AI15" s="97">
        <v>355</v>
      </c>
      <c r="AJ15" s="55">
        <f t="shared" si="3"/>
        <v>6285.566100000001</v>
      </c>
      <c r="AK15" s="97"/>
      <c r="AL15" s="55">
        <f t="shared" si="4"/>
      </c>
      <c r="AM15" s="97">
        <v>14</v>
      </c>
      <c r="AN15" s="55">
        <f t="shared" si="5"/>
        <v>247.88148</v>
      </c>
      <c r="AO15" s="109">
        <v>8</v>
      </c>
      <c r="AQ15" s="99">
        <v>312</v>
      </c>
      <c r="AR15" s="55">
        <f t="shared" si="6"/>
        <v>5524.215840000001</v>
      </c>
      <c r="AS15" s="97"/>
      <c r="AT15" s="55">
        <f t="shared" si="7"/>
      </c>
      <c r="AU15" s="97">
        <v>19</v>
      </c>
      <c r="AV15" s="55">
        <f t="shared" si="8"/>
        <v>336.41058000000004</v>
      </c>
      <c r="AX15" s="99">
        <v>45879</v>
      </c>
      <c r="AY15" s="100">
        <v>3</v>
      </c>
      <c r="AZ15" s="101">
        <v>3.25</v>
      </c>
      <c r="BA15" s="97">
        <v>31</v>
      </c>
      <c r="BB15" s="101">
        <v>27</v>
      </c>
      <c r="BC15" s="97">
        <v>24</v>
      </c>
      <c r="BD15" s="97"/>
      <c r="BE15" s="102"/>
      <c r="BG15" s="99">
        <v>24</v>
      </c>
      <c r="BH15" s="83" t="s">
        <v>210</v>
      </c>
      <c r="BI15" s="103" t="s">
        <v>211</v>
      </c>
      <c r="CE15" s="24"/>
      <c r="CF15" s="20"/>
      <c r="CG15" s="279"/>
      <c r="CH15" s="279"/>
      <c r="CI15" s="279"/>
      <c r="CJ15" s="279"/>
      <c r="CK15" s="279"/>
      <c r="CL15" s="53"/>
      <c r="CM15" s="280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2">
        <v>3175730</v>
      </c>
      <c r="D16" s="138">
        <f t="shared" si="0"/>
        <v>2.385</v>
      </c>
      <c r="E16" s="141">
        <v>3.6</v>
      </c>
      <c r="F16" s="142">
        <v>0.6</v>
      </c>
      <c r="G16" s="183" t="str">
        <f t="shared" si="1"/>
        <v>0.00</v>
      </c>
      <c r="H16" s="112">
        <v>1700</v>
      </c>
      <c r="I16" s="113">
        <v>3750</v>
      </c>
      <c r="K16" s="114" t="s">
        <v>208</v>
      </c>
      <c r="L16" s="112">
        <v>44</v>
      </c>
      <c r="M16" s="115">
        <v>0.5</v>
      </c>
      <c r="O16" s="116"/>
      <c r="Q16" s="107" t="s">
        <v>4</v>
      </c>
      <c r="R16" s="152" t="s">
        <v>4</v>
      </c>
      <c r="S16" s="108" t="s">
        <v>4</v>
      </c>
      <c r="U16" s="117">
        <v>7.11</v>
      </c>
      <c r="V16" s="118">
        <v>6.96</v>
      </c>
      <c r="W16" s="119">
        <v>6.89</v>
      </c>
      <c r="Y16" s="120">
        <v>15.8</v>
      </c>
      <c r="Z16" s="121">
        <v>15</v>
      </c>
      <c r="AA16" s="122">
        <v>15.6</v>
      </c>
      <c r="AC16" s="117">
        <v>7</v>
      </c>
      <c r="AD16" s="123">
        <v>0.01</v>
      </c>
      <c r="AE16" s="124">
        <v>0</v>
      </c>
      <c r="AG16" s="45">
        <f t="shared" si="2"/>
        <v>5</v>
      </c>
      <c r="AH16" s="281"/>
      <c r="AI16" s="125">
        <v>336</v>
      </c>
      <c r="AJ16" s="65">
        <f t="shared" si="3"/>
        <v>6683.342399999999</v>
      </c>
      <c r="AK16" s="125">
        <v>188</v>
      </c>
      <c r="AL16" s="65">
        <f t="shared" si="4"/>
        <v>3739.4891999999995</v>
      </c>
      <c r="AM16" s="125">
        <v>19</v>
      </c>
      <c r="AN16" s="65">
        <f t="shared" si="5"/>
        <v>377.9271</v>
      </c>
      <c r="AO16" s="126">
        <v>11</v>
      </c>
      <c r="AQ16" s="127">
        <v>280</v>
      </c>
      <c r="AR16" s="65">
        <f t="shared" si="6"/>
        <v>5569.451999999999</v>
      </c>
      <c r="AS16" s="125">
        <v>111</v>
      </c>
      <c r="AT16" s="65">
        <f t="shared" si="7"/>
        <v>2207.8898999999997</v>
      </c>
      <c r="AU16" s="125">
        <v>27</v>
      </c>
      <c r="AV16" s="65">
        <f t="shared" si="8"/>
        <v>537.0543</v>
      </c>
      <c r="AX16" s="127"/>
      <c r="AY16" s="128"/>
      <c r="AZ16" s="129"/>
      <c r="BA16" s="125"/>
      <c r="BB16" s="129"/>
      <c r="BC16" s="125"/>
      <c r="BD16" s="125"/>
      <c r="BE16" s="130"/>
      <c r="BG16" s="127"/>
      <c r="BH16" s="110"/>
      <c r="BI16" s="131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(IF(((SUM(AM28:AM30))=0)," ",(AVERAGE(AM28:AM30))))</f>
        <v>20.333333333333332</v>
      </c>
      <c r="CH16" s="105">
        <f>(IF(((SUM(AN28:AN30))=0)," ",(AVERAGE(AN28:AN30))))</f>
        <v>362.50088000000005</v>
      </c>
      <c r="CI16" s="279"/>
      <c r="CJ16" s="105">
        <f>(IF(((SUM(AU28:AU30))=0)," ",(AVERAGE(AU28:AU30))))</f>
        <v>27.333333333333332</v>
      </c>
      <c r="CK16" s="105">
        <f>(IF(((SUM(AV28:AV30))=0)," ",(AVERAGE(AV28:AV30))))</f>
        <v>488.79072</v>
      </c>
      <c r="CL16" s="53"/>
      <c r="CM16" s="151">
        <f>(AVERAGE(AE25:AE31))</f>
        <v>0.0014285714285714286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4">
        <v>3177982</v>
      </c>
      <c r="D17" s="137">
        <f t="shared" si="0"/>
        <v>2.252</v>
      </c>
      <c r="E17" s="139">
        <v>3.8</v>
      </c>
      <c r="F17" s="140">
        <v>0.5</v>
      </c>
      <c r="G17" s="81" t="str">
        <f t="shared" si="1"/>
        <v>0.00</v>
      </c>
      <c r="H17" s="84">
        <v>2000</v>
      </c>
      <c r="I17" s="85">
        <v>1500</v>
      </c>
      <c r="K17" s="86" t="s">
        <v>209</v>
      </c>
      <c r="L17" s="84">
        <v>46</v>
      </c>
      <c r="M17" s="87">
        <v>0</v>
      </c>
      <c r="O17" s="106"/>
      <c r="Q17" s="107"/>
      <c r="R17" s="152"/>
      <c r="S17" s="108"/>
      <c r="U17" s="92">
        <v>7.54</v>
      </c>
      <c r="V17" s="93">
        <v>7.34</v>
      </c>
      <c r="W17" s="94">
        <v>6.55</v>
      </c>
      <c r="Y17" s="89">
        <v>14.9</v>
      </c>
      <c r="Z17" s="95">
        <v>14.8</v>
      </c>
      <c r="AA17" s="91">
        <v>14.8</v>
      </c>
      <c r="AC17" s="92">
        <v>15</v>
      </c>
      <c r="AD17" s="90">
        <v>0.01</v>
      </c>
      <c r="AE17" s="96">
        <v>0</v>
      </c>
      <c r="AG17" s="45">
        <f t="shared" si="2"/>
        <v>6</v>
      </c>
      <c r="AH17" s="281"/>
      <c r="AI17" s="97"/>
      <c r="AJ17" s="55">
        <f t="shared" si="3"/>
      </c>
      <c r="AK17" s="97"/>
      <c r="AL17" s="55">
        <f t="shared" si="4"/>
      </c>
      <c r="AM17" s="97"/>
      <c r="AN17" s="55">
        <f t="shared" si="5"/>
      </c>
      <c r="AO17" s="109"/>
      <c r="AQ17" s="99"/>
      <c r="AR17" s="55">
        <f t="shared" si="6"/>
      </c>
      <c r="AS17" s="97"/>
      <c r="AT17" s="55">
        <f t="shared" si="7"/>
      </c>
      <c r="AU17" s="97"/>
      <c r="AV17" s="55">
        <f t="shared" si="8"/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71" t="s">
        <v>150</v>
      </c>
      <c r="BR17" s="271" t="s">
        <v>150</v>
      </c>
      <c r="BS17" s="271" t="s">
        <v>150</v>
      </c>
      <c r="BT17" s="26"/>
      <c r="BU17" s="68">
        <f>MIN(W12:W42)</f>
        <v>6.44</v>
      </c>
      <c r="BV17" s="271" t="s">
        <v>150</v>
      </c>
      <c r="BW17" s="68">
        <f>MAX(W12:W42)</f>
        <v>7.47</v>
      </c>
      <c r="BX17" s="26" t="s">
        <v>43</v>
      </c>
      <c r="BY17" s="26"/>
      <c r="BZ17" s="26">
        <v>0</v>
      </c>
      <c r="CA17" s="266" t="s">
        <v>48</v>
      </c>
      <c r="CB17" s="26" t="s">
        <v>23</v>
      </c>
      <c r="CC17" s="136"/>
      <c r="CE17" s="69"/>
      <c r="CF17" s="20"/>
      <c r="CG17" s="279"/>
      <c r="CH17" s="279"/>
      <c r="CI17" s="279"/>
      <c r="CJ17" s="279"/>
      <c r="CK17" s="279"/>
      <c r="CL17" s="20"/>
      <c r="CM17" s="280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4">
        <v>3180152</v>
      </c>
      <c r="D18" s="137">
        <f t="shared" si="0"/>
        <v>2.17</v>
      </c>
      <c r="E18" s="139">
        <v>4.6</v>
      </c>
      <c r="F18" s="140">
        <v>0.5</v>
      </c>
      <c r="G18" s="81" t="str">
        <f t="shared" si="1"/>
        <v>0.00</v>
      </c>
      <c r="H18" s="84">
        <v>0</v>
      </c>
      <c r="I18" s="85">
        <v>0</v>
      </c>
      <c r="K18" s="86" t="s">
        <v>208</v>
      </c>
      <c r="L18" s="84">
        <v>48</v>
      </c>
      <c r="M18" s="87">
        <v>0</v>
      </c>
      <c r="O18" s="106"/>
      <c r="Q18" s="107" t="s">
        <v>4</v>
      </c>
      <c r="R18" s="152" t="s">
        <v>4</v>
      </c>
      <c r="S18" s="108" t="s">
        <v>4</v>
      </c>
      <c r="U18" s="92">
        <v>6.8</v>
      </c>
      <c r="V18" s="93">
        <v>6.89</v>
      </c>
      <c r="W18" s="94">
        <v>6.81</v>
      </c>
      <c r="Y18" s="89">
        <v>15.5</v>
      </c>
      <c r="Z18" s="95">
        <v>14.8</v>
      </c>
      <c r="AA18" s="91">
        <v>15</v>
      </c>
      <c r="AC18" s="92">
        <v>8</v>
      </c>
      <c r="AD18" s="90">
        <v>0.01</v>
      </c>
      <c r="AE18" s="96">
        <v>0</v>
      </c>
      <c r="AG18" s="45">
        <f t="shared" si="2"/>
        <v>7</v>
      </c>
      <c r="AH18" s="281"/>
      <c r="AI18" s="97"/>
      <c r="AJ18" s="55">
        <f t="shared" si="3"/>
      </c>
      <c r="AK18" s="97"/>
      <c r="AL18" s="55">
        <f t="shared" si="4"/>
      </c>
      <c r="AM18" s="97"/>
      <c r="AN18" s="55">
        <f t="shared" si="5"/>
      </c>
      <c r="AO18" s="109"/>
      <c r="AQ18" s="99"/>
      <c r="AR18" s="55">
        <f t="shared" si="6"/>
      </c>
      <c r="AS18" s="97"/>
      <c r="AT18" s="55">
        <f t="shared" si="7"/>
      </c>
      <c r="AU18" s="97"/>
      <c r="AV18" s="55">
        <f t="shared" si="8"/>
      </c>
      <c r="AX18" s="99"/>
      <c r="AY18" s="100"/>
      <c r="AZ18" s="101"/>
      <c r="BA18" s="97"/>
      <c r="BB18" s="101"/>
      <c r="BC18" s="97"/>
      <c r="BD18" s="97"/>
      <c r="BE18" s="102"/>
      <c r="BG18" s="99"/>
      <c r="BH18" s="83"/>
      <c r="BI18" s="103"/>
      <c r="BK18" s="17"/>
      <c r="BL18" s="19"/>
      <c r="BM18" s="26" t="s">
        <v>86</v>
      </c>
      <c r="BN18" s="20"/>
      <c r="BO18" s="153" t="s">
        <v>131</v>
      </c>
      <c r="BP18" s="26"/>
      <c r="BQ18" s="269" t="s">
        <v>150</v>
      </c>
      <c r="BR18" s="269" t="s">
        <v>150</v>
      </c>
      <c r="BS18" s="269" t="s">
        <v>150</v>
      </c>
      <c r="BT18" s="26"/>
      <c r="BU18" s="272">
        <v>6</v>
      </c>
      <c r="BV18" s="269" t="s">
        <v>150</v>
      </c>
      <c r="BW18" s="154">
        <v>8.5</v>
      </c>
      <c r="BX18" s="154" t="s">
        <v>43</v>
      </c>
      <c r="BY18" s="26"/>
      <c r="BZ18" s="269" t="s">
        <v>150</v>
      </c>
      <c r="CA18" s="270" t="s">
        <v>48</v>
      </c>
      <c r="CB18" s="154" t="s">
        <v>23</v>
      </c>
      <c r="CC18" s="136"/>
      <c r="CE18" s="69"/>
      <c r="CF18" s="20" t="s">
        <v>141</v>
      </c>
      <c r="CG18" s="105">
        <f>(IF(((SUM(AM33:AM35))=0)," ",(AVERAGE(AM33:AM35))))</f>
        <v>17</v>
      </c>
      <c r="CH18" s="105">
        <f>(IF(((SUM(AN33:AN35))=0)," ",(AVERAGE(AN33:AN35))))</f>
        <v>303.15900000000005</v>
      </c>
      <c r="CI18" s="279"/>
      <c r="CJ18" s="105">
        <f>(IF(((SUM(AU33:AU35))=0)," ",(AVERAGE(AU33:AU35))))</f>
        <v>24</v>
      </c>
      <c r="CK18" s="105">
        <f>(IF(((SUM(AV33:AV35))=0)," ",(AVERAGE(AV33:AV35))))</f>
        <v>425.37336</v>
      </c>
      <c r="CL18" s="20"/>
      <c r="CM18" s="151">
        <f>(AVERAGE(AE32:AE38))</f>
        <v>0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4">
        <v>3183043</v>
      </c>
      <c r="D19" s="137">
        <f t="shared" si="0"/>
        <v>2.891</v>
      </c>
      <c r="E19" s="139">
        <v>3.7</v>
      </c>
      <c r="F19" s="140">
        <v>0.5</v>
      </c>
      <c r="G19" s="81" t="str">
        <f t="shared" si="1"/>
        <v>0.00</v>
      </c>
      <c r="H19" s="84">
        <v>2500</v>
      </c>
      <c r="I19" s="85">
        <v>5250</v>
      </c>
      <c r="K19" s="86" t="s">
        <v>209</v>
      </c>
      <c r="L19" s="84">
        <v>40</v>
      </c>
      <c r="M19" s="87">
        <v>0.01</v>
      </c>
      <c r="O19" s="106"/>
      <c r="Q19" s="107"/>
      <c r="R19" s="152"/>
      <c r="S19" s="108"/>
      <c r="U19" s="92">
        <v>7.17</v>
      </c>
      <c r="V19" s="93">
        <v>6.8</v>
      </c>
      <c r="W19" s="94">
        <v>6.68</v>
      </c>
      <c r="Y19" s="89">
        <v>15.7</v>
      </c>
      <c r="Z19" s="95">
        <v>15.4</v>
      </c>
      <c r="AA19" s="91">
        <v>15.2</v>
      </c>
      <c r="AC19" s="92">
        <v>7.5</v>
      </c>
      <c r="AD19" s="90">
        <v>0.01</v>
      </c>
      <c r="AE19" s="96">
        <v>0</v>
      </c>
      <c r="AG19" s="45">
        <f t="shared" si="2"/>
        <v>8</v>
      </c>
      <c r="AH19" s="281"/>
      <c r="AI19" s="97"/>
      <c r="AJ19" s="55">
        <f t="shared" si="3"/>
      </c>
      <c r="AK19" s="97"/>
      <c r="AL19" s="55">
        <f t="shared" si="4"/>
      </c>
      <c r="AM19" s="97"/>
      <c r="AN19" s="55">
        <f t="shared" si="5"/>
      </c>
      <c r="AO19" s="109"/>
      <c r="AQ19" s="99"/>
      <c r="AR19" s="55">
        <f t="shared" si="6"/>
      </c>
      <c r="AS19" s="97"/>
      <c r="AT19" s="55">
        <f t="shared" si="7"/>
      </c>
      <c r="AU19" s="97"/>
      <c r="AV19" s="55">
        <f t="shared" si="8"/>
      </c>
      <c r="AX19" s="99">
        <v>47499</v>
      </c>
      <c r="AY19" s="100">
        <v>3</v>
      </c>
      <c r="AZ19" s="101">
        <v>3</v>
      </c>
      <c r="BA19" s="97">
        <v>37.2</v>
      </c>
      <c r="BB19" s="101">
        <v>28</v>
      </c>
      <c r="BC19" s="97">
        <v>24</v>
      </c>
      <c r="BD19" s="97"/>
      <c r="BE19" s="102"/>
      <c r="BG19" s="99">
        <v>24</v>
      </c>
      <c r="BH19" s="83" t="s">
        <v>210</v>
      </c>
      <c r="BI19" s="103" t="s">
        <v>211</v>
      </c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79"/>
      <c r="CH19" s="279"/>
      <c r="CI19" s="279"/>
      <c r="CJ19" s="279"/>
      <c r="CK19" s="279"/>
      <c r="CL19" s="20"/>
      <c r="CM19" s="280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4">
        <v>3185273</v>
      </c>
      <c r="D20" s="137">
        <f t="shared" si="0"/>
        <v>2.23</v>
      </c>
      <c r="E20" s="139">
        <v>3.6</v>
      </c>
      <c r="F20" s="140">
        <v>0.5</v>
      </c>
      <c r="G20" s="81" t="str">
        <f t="shared" si="1"/>
        <v>0.00</v>
      </c>
      <c r="H20" s="84">
        <v>2500</v>
      </c>
      <c r="I20" s="85">
        <v>9500</v>
      </c>
      <c r="K20" s="86" t="s">
        <v>209</v>
      </c>
      <c r="L20" s="84">
        <v>31</v>
      </c>
      <c r="M20" s="87">
        <v>0</v>
      </c>
      <c r="O20" s="106"/>
      <c r="Q20" s="107"/>
      <c r="R20" s="152"/>
      <c r="S20" s="108"/>
      <c r="U20" s="92">
        <v>7.28</v>
      </c>
      <c r="V20" s="93">
        <v>7.05</v>
      </c>
      <c r="W20" s="94">
        <v>7.47</v>
      </c>
      <c r="Y20" s="89">
        <v>15.4</v>
      </c>
      <c r="Z20" s="95">
        <v>14.7</v>
      </c>
      <c r="AA20" s="91">
        <v>14.5</v>
      </c>
      <c r="AC20" s="92">
        <v>12</v>
      </c>
      <c r="AD20" s="90">
        <v>0</v>
      </c>
      <c r="AE20" s="96">
        <v>0</v>
      </c>
      <c r="AG20" s="45">
        <f t="shared" si="2"/>
        <v>9</v>
      </c>
      <c r="AH20" s="281"/>
      <c r="AI20" s="97"/>
      <c r="AJ20" s="55">
        <f t="shared" si="3"/>
      </c>
      <c r="AK20" s="97"/>
      <c r="AL20" s="55">
        <f t="shared" si="4"/>
      </c>
      <c r="AM20" s="97"/>
      <c r="AN20" s="55">
        <f t="shared" si="5"/>
      </c>
      <c r="AO20" s="109"/>
      <c r="AQ20" s="99"/>
      <c r="AR20" s="55">
        <f t="shared" si="6"/>
      </c>
      <c r="AS20" s="97"/>
      <c r="AT20" s="55">
        <f t="shared" si="7"/>
      </c>
      <c r="AU20" s="97"/>
      <c r="AV20" s="55">
        <f t="shared" si="8"/>
      </c>
      <c r="AX20" s="99"/>
      <c r="AY20" s="100"/>
      <c r="AZ20" s="101"/>
      <c r="BA20" s="97"/>
      <c r="BB20" s="101"/>
      <c r="BC20" s="97"/>
      <c r="BD20" s="97"/>
      <c r="BE20" s="102"/>
      <c r="BG20" s="99"/>
      <c r="BH20" s="83"/>
      <c r="BI20" s="103"/>
      <c r="CE20" s="69"/>
      <c r="CF20" s="20" t="s">
        <v>142</v>
      </c>
      <c r="CG20" s="105"/>
      <c r="CH20" s="105"/>
      <c r="CI20" s="279"/>
      <c r="CJ20" s="105"/>
      <c r="CK20" s="105"/>
      <c r="CL20" s="20"/>
      <c r="CM20" s="151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2">
        <v>3187481</v>
      </c>
      <c r="D21" s="138">
        <f t="shared" si="0"/>
        <v>2.208</v>
      </c>
      <c r="E21" s="141">
        <v>4.2</v>
      </c>
      <c r="F21" s="142">
        <v>0.4</v>
      </c>
      <c r="G21" s="183" t="str">
        <f t="shared" si="1"/>
        <v>0.00</v>
      </c>
      <c r="H21" s="112">
        <v>0</v>
      </c>
      <c r="I21" s="113">
        <v>10500</v>
      </c>
      <c r="K21" s="114" t="s">
        <v>209</v>
      </c>
      <c r="L21" s="112">
        <v>30</v>
      </c>
      <c r="M21" s="115">
        <v>0</v>
      </c>
      <c r="O21" s="116"/>
      <c r="Q21" s="107"/>
      <c r="R21" s="152"/>
      <c r="S21" s="108"/>
      <c r="U21" s="117">
        <v>7.36</v>
      </c>
      <c r="V21" s="118">
        <v>7.14</v>
      </c>
      <c r="W21" s="119">
        <v>6.99</v>
      </c>
      <c r="Y21" s="120">
        <v>16</v>
      </c>
      <c r="Z21" s="121">
        <v>15.3</v>
      </c>
      <c r="AA21" s="122">
        <v>14.9</v>
      </c>
      <c r="AC21" s="117">
        <v>9</v>
      </c>
      <c r="AD21" s="123">
        <v>0.4</v>
      </c>
      <c r="AE21" s="124">
        <v>0</v>
      </c>
      <c r="AG21" s="45">
        <f t="shared" si="2"/>
        <v>10</v>
      </c>
      <c r="AH21" s="281"/>
      <c r="AI21" s="125">
        <v>333</v>
      </c>
      <c r="AJ21" s="65">
        <f t="shared" si="3"/>
        <v>6132.10176</v>
      </c>
      <c r="AK21" s="125"/>
      <c r="AL21" s="65">
        <f t="shared" si="4"/>
      </c>
      <c r="AM21" s="125">
        <v>15</v>
      </c>
      <c r="AN21" s="65">
        <f t="shared" si="5"/>
        <v>276.22080000000005</v>
      </c>
      <c r="AO21" s="126">
        <v>8</v>
      </c>
      <c r="AQ21" s="127">
        <v>244</v>
      </c>
      <c r="AR21" s="65">
        <f t="shared" si="6"/>
        <v>4493.191680000001</v>
      </c>
      <c r="AS21" s="125"/>
      <c r="AT21" s="65">
        <f t="shared" si="7"/>
      </c>
      <c r="AU21" s="125">
        <v>19</v>
      </c>
      <c r="AV21" s="65">
        <f t="shared" si="8"/>
        <v>349.87968000000006</v>
      </c>
      <c r="AX21" s="127">
        <v>29042</v>
      </c>
      <c r="AY21" s="128">
        <v>3</v>
      </c>
      <c r="AZ21" s="129">
        <v>2</v>
      </c>
      <c r="BA21" s="125">
        <v>18.6</v>
      </c>
      <c r="BB21" s="129">
        <v>27</v>
      </c>
      <c r="BC21" s="125">
        <v>12</v>
      </c>
      <c r="BD21" s="125"/>
      <c r="BE21" s="130"/>
      <c r="BG21" s="127">
        <v>12</v>
      </c>
      <c r="BH21" s="110" t="s">
        <v>210</v>
      </c>
      <c r="BI21" s="131" t="s">
        <v>211</v>
      </c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4">
        <v>3189598</v>
      </c>
      <c r="D22" s="137">
        <f t="shared" si="0"/>
        <v>2.117</v>
      </c>
      <c r="E22" s="139">
        <v>3.7</v>
      </c>
      <c r="F22" s="140">
        <v>0.4</v>
      </c>
      <c r="G22" s="81" t="str">
        <f t="shared" si="1"/>
        <v>0.00</v>
      </c>
      <c r="H22" s="84">
        <v>0</v>
      </c>
      <c r="I22" s="85">
        <v>2000</v>
      </c>
      <c r="K22" s="86" t="s">
        <v>209</v>
      </c>
      <c r="L22" s="84">
        <v>43</v>
      </c>
      <c r="M22" s="87">
        <v>0</v>
      </c>
      <c r="O22" s="106"/>
      <c r="Q22" s="107" t="s">
        <v>4</v>
      </c>
      <c r="R22" s="152" t="s">
        <v>4</v>
      </c>
      <c r="S22" s="108" t="s">
        <v>4</v>
      </c>
      <c r="U22" s="92">
        <v>7.21</v>
      </c>
      <c r="V22" s="93">
        <v>7.1</v>
      </c>
      <c r="W22" s="94">
        <v>7.18</v>
      </c>
      <c r="Y22" s="89">
        <v>15.3</v>
      </c>
      <c r="Z22" s="95">
        <v>15</v>
      </c>
      <c r="AA22" s="91">
        <v>14.7</v>
      </c>
      <c r="AC22" s="92">
        <v>5.5</v>
      </c>
      <c r="AD22" s="90">
        <v>0.1</v>
      </c>
      <c r="AE22" s="96">
        <v>0</v>
      </c>
      <c r="AG22" s="45">
        <f t="shared" si="2"/>
        <v>11</v>
      </c>
      <c r="AH22" s="281"/>
      <c r="AI22" s="97">
        <v>350</v>
      </c>
      <c r="AJ22" s="55">
        <f t="shared" si="3"/>
        <v>6179.523</v>
      </c>
      <c r="AK22" s="97"/>
      <c r="AL22" s="55">
        <f t="shared" si="4"/>
      </c>
      <c r="AM22" s="97">
        <v>19</v>
      </c>
      <c r="AN22" s="55">
        <f t="shared" si="5"/>
        <v>335.45982</v>
      </c>
      <c r="AO22" s="109">
        <v>11</v>
      </c>
      <c r="AQ22" s="99">
        <v>402</v>
      </c>
      <c r="AR22" s="55">
        <f t="shared" si="6"/>
        <v>7097.62356</v>
      </c>
      <c r="AS22" s="97"/>
      <c r="AT22" s="55">
        <f t="shared" si="7"/>
      </c>
      <c r="AU22" s="97">
        <v>26</v>
      </c>
      <c r="AV22" s="55">
        <f t="shared" si="8"/>
        <v>459.05028</v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85">
        <f>(IF(((SUM(AV12:AV42))=0)," ",(AVERAGE(AV12:AV42))))</f>
        <v>435.40638000000007</v>
      </c>
      <c r="BR22" s="185">
        <f>MAX(AV12:AV42)</f>
        <v>593.808</v>
      </c>
      <c r="BS22" s="26" t="s">
        <v>126</v>
      </c>
      <c r="BT22" s="26"/>
      <c r="BU22" s="185">
        <f>(IF(((SUM(AU12:AU42))=0)," ",(AVERAGE(AU12:AU42))))</f>
        <v>24.083333333333332</v>
      </c>
      <c r="BV22" s="58">
        <f>(CJ23)</f>
        <v>27.333333333333332</v>
      </c>
      <c r="BW22" s="185">
        <f>MAX(AU12:AU42)</f>
        <v>32</v>
      </c>
      <c r="BX22" s="26" t="s">
        <v>128</v>
      </c>
      <c r="BY22" s="26"/>
      <c r="BZ22" s="26">
        <v>0</v>
      </c>
      <c r="CA22" s="266" t="s">
        <v>47</v>
      </c>
      <c r="CB22" s="26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4">
        <v>3191737</v>
      </c>
      <c r="D23" s="137">
        <f t="shared" si="0"/>
        <v>2.139</v>
      </c>
      <c r="E23" s="139">
        <v>3.8</v>
      </c>
      <c r="F23" s="140">
        <v>0.5</v>
      </c>
      <c r="G23" s="81" t="str">
        <f t="shared" si="1"/>
        <v>0.00</v>
      </c>
      <c r="H23" s="84">
        <v>1000</v>
      </c>
      <c r="I23" s="85">
        <v>6250</v>
      </c>
      <c r="K23" s="86" t="s">
        <v>208</v>
      </c>
      <c r="L23" s="84">
        <v>33</v>
      </c>
      <c r="M23" s="87">
        <v>0</v>
      </c>
      <c r="O23" s="106"/>
      <c r="Q23" s="107"/>
      <c r="R23" s="152"/>
      <c r="S23" s="108"/>
      <c r="U23" s="92">
        <v>7.48</v>
      </c>
      <c r="V23" s="93">
        <v>7.12</v>
      </c>
      <c r="W23" s="94">
        <v>7.39</v>
      </c>
      <c r="Y23" s="89">
        <v>15.7</v>
      </c>
      <c r="Z23" s="95">
        <v>15</v>
      </c>
      <c r="AA23" s="91">
        <v>14.6</v>
      </c>
      <c r="AC23" s="92">
        <v>10</v>
      </c>
      <c r="AD23" s="90">
        <v>0.1</v>
      </c>
      <c r="AE23" s="96">
        <v>0.01</v>
      </c>
      <c r="AG23" s="45">
        <f t="shared" si="2"/>
        <v>12</v>
      </c>
      <c r="AH23" s="281"/>
      <c r="AI23" s="97">
        <v>282</v>
      </c>
      <c r="AJ23" s="55">
        <f t="shared" si="3"/>
        <v>5030.6713199999995</v>
      </c>
      <c r="AK23" s="97">
        <v>170</v>
      </c>
      <c r="AL23" s="55">
        <f t="shared" si="4"/>
        <v>3032.6741999999995</v>
      </c>
      <c r="AM23" s="97">
        <v>17</v>
      </c>
      <c r="AN23" s="55">
        <f t="shared" si="5"/>
        <v>303.26742</v>
      </c>
      <c r="AO23" s="109">
        <v>10</v>
      </c>
      <c r="AQ23" s="99">
        <v>190</v>
      </c>
      <c r="AR23" s="55">
        <f t="shared" si="6"/>
        <v>3389.4593999999997</v>
      </c>
      <c r="AS23" s="97">
        <v>57</v>
      </c>
      <c r="AT23" s="55">
        <f t="shared" si="7"/>
        <v>1016.8378199999999</v>
      </c>
      <c r="AU23" s="97">
        <v>23</v>
      </c>
      <c r="AV23" s="55">
        <f t="shared" si="8"/>
        <v>410.30297999999993</v>
      </c>
      <c r="AX23" s="99"/>
      <c r="AY23" s="100"/>
      <c r="AZ23" s="101"/>
      <c r="BA23" s="97"/>
      <c r="BB23" s="101"/>
      <c r="BC23" s="97"/>
      <c r="BD23" s="97"/>
      <c r="BE23" s="102"/>
      <c r="BG23" s="99"/>
      <c r="BH23" s="83"/>
      <c r="BI23" s="103"/>
      <c r="BK23" s="17"/>
      <c r="BL23" s="19"/>
      <c r="BM23" s="26" t="s">
        <v>86</v>
      </c>
      <c r="BN23" s="20"/>
      <c r="BO23" s="153" t="s">
        <v>131</v>
      </c>
      <c r="BP23" s="26"/>
      <c r="BQ23" s="267">
        <v>963</v>
      </c>
      <c r="BR23" s="267">
        <v>1605</v>
      </c>
      <c r="BS23" s="154" t="s">
        <v>126</v>
      </c>
      <c r="BT23" s="26"/>
      <c r="BU23" s="267">
        <v>30</v>
      </c>
      <c r="BV23" s="268">
        <v>45</v>
      </c>
      <c r="BW23" s="267">
        <v>50</v>
      </c>
      <c r="BX23" s="154" t="s">
        <v>128</v>
      </c>
      <c r="BY23" s="26"/>
      <c r="BZ23" s="269" t="s">
        <v>150</v>
      </c>
      <c r="CA23" s="270" t="s">
        <v>47</v>
      </c>
      <c r="CB23" s="154">
        <v>24</v>
      </c>
      <c r="CC23" s="136"/>
      <c r="CE23" s="69"/>
      <c r="CF23" s="72" t="s">
        <v>53</v>
      </c>
      <c r="CG23" s="185">
        <f>(IF(((SUM(CG12:CG20))=0)," ",(MAX(CG12:CG20))))</f>
        <v>20.333333333333332</v>
      </c>
      <c r="CH23" s="185">
        <f>(IF(((SUM(CH12:CH20))=0)," ",(MAX(CH12:CH20))))</f>
        <v>362.50088000000005</v>
      </c>
      <c r="CI23" s="185"/>
      <c r="CJ23" s="185">
        <f>(IF(((SUM(CJ12:CJ20))=0)," ",(MAX(CJ12:CJ20))))</f>
        <v>27.333333333333332</v>
      </c>
      <c r="CK23" s="185">
        <f>(IF(((SUM(CK12:CK20))=0)," ",(MAX(CK12:CK20))))</f>
        <v>488.79072</v>
      </c>
      <c r="CL23" s="71"/>
      <c r="CM23" s="60">
        <f>(MAX(CM12:CM20))</f>
        <v>0.0033333333333333335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4">
        <v>3193826</v>
      </c>
      <c r="D24" s="137">
        <f t="shared" si="0"/>
        <v>2.089</v>
      </c>
      <c r="E24" s="139">
        <v>3.6</v>
      </c>
      <c r="F24" s="140">
        <v>0.5</v>
      </c>
      <c r="G24" s="81" t="str">
        <f t="shared" si="1"/>
        <v>0.00</v>
      </c>
      <c r="H24" s="84">
        <v>0</v>
      </c>
      <c r="I24" s="85">
        <v>4000</v>
      </c>
      <c r="K24" s="86" t="s">
        <v>208</v>
      </c>
      <c r="L24" s="84">
        <v>33</v>
      </c>
      <c r="M24" s="87">
        <v>0</v>
      </c>
      <c r="O24" s="106"/>
      <c r="Q24" s="107" t="s">
        <v>10</v>
      </c>
      <c r="R24" s="152" t="s">
        <v>10</v>
      </c>
      <c r="S24" s="108" t="s">
        <v>10</v>
      </c>
      <c r="U24" s="92">
        <v>7.16</v>
      </c>
      <c r="V24" s="93">
        <v>7.12</v>
      </c>
      <c r="W24" s="94">
        <v>6.88</v>
      </c>
      <c r="Y24" s="89">
        <v>15.6</v>
      </c>
      <c r="Z24" s="95">
        <v>14.8</v>
      </c>
      <c r="AA24" s="91">
        <v>14.2</v>
      </c>
      <c r="AC24" s="92">
        <v>4.5</v>
      </c>
      <c r="AD24" s="90">
        <v>0.1</v>
      </c>
      <c r="AE24" s="96">
        <v>0.01</v>
      </c>
      <c r="AG24" s="45">
        <f t="shared" si="2"/>
        <v>13</v>
      </c>
      <c r="AH24" s="281"/>
      <c r="AI24" s="97"/>
      <c r="AJ24" s="55">
        <f t="shared" si="3"/>
      </c>
      <c r="AK24" s="97"/>
      <c r="AL24" s="55">
        <f t="shared" si="4"/>
      </c>
      <c r="AM24" s="97"/>
      <c r="AN24" s="55">
        <f t="shared" si="5"/>
      </c>
      <c r="AO24" s="109"/>
      <c r="AQ24" s="99"/>
      <c r="AR24" s="55">
        <f t="shared" si="6"/>
      </c>
      <c r="AS24" s="97"/>
      <c r="AT24" s="55">
        <f t="shared" si="7"/>
      </c>
      <c r="AU24" s="97"/>
      <c r="AV24" s="55">
        <f t="shared" si="8"/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4">
        <v>3195832</v>
      </c>
      <c r="D25" s="137">
        <f t="shared" si="0"/>
        <v>2.006</v>
      </c>
      <c r="E25" s="139">
        <v>3.6</v>
      </c>
      <c r="F25" s="140">
        <v>0.4</v>
      </c>
      <c r="G25" s="81" t="str">
        <f t="shared" si="1"/>
        <v>0.00</v>
      </c>
      <c r="H25" s="84">
        <v>0</v>
      </c>
      <c r="I25" s="85">
        <v>0</v>
      </c>
      <c r="K25" s="86" t="s">
        <v>209</v>
      </c>
      <c r="L25" s="84">
        <v>35</v>
      </c>
      <c r="M25" s="87">
        <v>0</v>
      </c>
      <c r="O25" s="106"/>
      <c r="Q25" s="107"/>
      <c r="R25" s="152"/>
      <c r="S25" s="108"/>
      <c r="U25" s="92">
        <v>7.29</v>
      </c>
      <c r="V25" s="93">
        <v>7.11</v>
      </c>
      <c r="W25" s="94">
        <v>6.85</v>
      </c>
      <c r="Y25" s="89">
        <v>15.2</v>
      </c>
      <c r="Z25" s="95">
        <v>14.5</v>
      </c>
      <c r="AA25" s="91">
        <v>13.8</v>
      </c>
      <c r="AC25" s="92">
        <v>10.5</v>
      </c>
      <c r="AD25" s="90">
        <v>0.1</v>
      </c>
      <c r="AE25" s="96">
        <v>0.01</v>
      </c>
      <c r="AG25" s="45">
        <f t="shared" si="2"/>
        <v>14</v>
      </c>
      <c r="AH25" s="281"/>
      <c r="AI25" s="97"/>
      <c r="AJ25" s="55">
        <f t="shared" si="3"/>
      </c>
      <c r="AK25" s="97"/>
      <c r="AL25" s="55">
        <f t="shared" si="4"/>
      </c>
      <c r="AM25" s="97"/>
      <c r="AN25" s="55">
        <f t="shared" si="5"/>
      </c>
      <c r="AO25" s="109"/>
      <c r="AQ25" s="99"/>
      <c r="AR25" s="55">
        <f t="shared" si="6"/>
      </c>
      <c r="AS25" s="97"/>
      <c r="AT25" s="55">
        <f t="shared" si="7"/>
      </c>
      <c r="AU25" s="97"/>
      <c r="AV25" s="55">
        <f t="shared" si="8"/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2">
        <v>3197854</v>
      </c>
      <c r="D26" s="138">
        <f t="shared" si="0"/>
        <v>2.022</v>
      </c>
      <c r="E26" s="141">
        <v>4</v>
      </c>
      <c r="F26" s="142">
        <v>0.4</v>
      </c>
      <c r="G26" s="183" t="str">
        <f t="shared" si="1"/>
        <v>0.00</v>
      </c>
      <c r="H26" s="112">
        <v>1000</v>
      </c>
      <c r="I26" s="113">
        <v>6500</v>
      </c>
      <c r="K26" s="114" t="s">
        <v>209</v>
      </c>
      <c r="L26" s="112">
        <v>38</v>
      </c>
      <c r="M26" s="115">
        <v>0</v>
      </c>
      <c r="O26" s="116"/>
      <c r="Q26" s="107" t="s">
        <v>11</v>
      </c>
      <c r="R26" s="152" t="s">
        <v>11</v>
      </c>
      <c r="S26" s="108" t="s">
        <v>11</v>
      </c>
      <c r="U26" s="117">
        <v>7.17</v>
      </c>
      <c r="V26" s="118">
        <v>7.02</v>
      </c>
      <c r="W26" s="119">
        <v>6.96</v>
      </c>
      <c r="Y26" s="120">
        <v>15.1</v>
      </c>
      <c r="Z26" s="121">
        <v>14.7</v>
      </c>
      <c r="AA26" s="122">
        <v>14.5</v>
      </c>
      <c r="AC26" s="117">
        <v>6</v>
      </c>
      <c r="AD26" s="123">
        <v>0.01</v>
      </c>
      <c r="AE26" s="124">
        <v>0</v>
      </c>
      <c r="AG26" s="45">
        <f t="shared" si="2"/>
        <v>15</v>
      </c>
      <c r="AH26" s="281"/>
      <c r="AI26" s="125"/>
      <c r="AJ26" s="65">
        <f t="shared" si="3"/>
      </c>
      <c r="AK26" s="125"/>
      <c r="AL26" s="65">
        <f t="shared" si="4"/>
      </c>
      <c r="AM26" s="125"/>
      <c r="AN26" s="65">
        <f t="shared" si="5"/>
      </c>
      <c r="AO26" s="126"/>
      <c r="AQ26" s="127"/>
      <c r="AR26" s="65">
        <f t="shared" si="6"/>
      </c>
      <c r="AS26" s="125"/>
      <c r="AT26" s="65">
        <f t="shared" si="7"/>
      </c>
      <c r="AU26" s="125"/>
      <c r="AV26" s="65">
        <f t="shared" si="8"/>
      </c>
      <c r="AX26" s="127">
        <v>75647</v>
      </c>
      <c r="AY26" s="128">
        <v>3</v>
      </c>
      <c r="AZ26" s="129">
        <v>4.75</v>
      </c>
      <c r="BA26" s="125">
        <v>49.6</v>
      </c>
      <c r="BB26" s="129">
        <v>27</v>
      </c>
      <c r="BC26" s="125">
        <v>24</v>
      </c>
      <c r="BD26" s="125"/>
      <c r="BE26" s="130"/>
      <c r="BG26" s="127">
        <v>12</v>
      </c>
      <c r="BH26" s="110" t="s">
        <v>210</v>
      </c>
      <c r="BI26" s="131" t="s">
        <v>211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4">
        <v>3199976</v>
      </c>
      <c r="D27" s="137">
        <f t="shared" si="0"/>
        <v>2.122</v>
      </c>
      <c r="E27" s="139">
        <v>4</v>
      </c>
      <c r="F27" s="140">
        <v>0.4</v>
      </c>
      <c r="G27" s="81" t="str">
        <f t="shared" si="1"/>
        <v>0.00</v>
      </c>
      <c r="H27" s="84">
        <v>3650</v>
      </c>
      <c r="I27" s="85">
        <v>11750</v>
      </c>
      <c r="K27" s="86" t="s">
        <v>209</v>
      </c>
      <c r="L27" s="84">
        <v>33</v>
      </c>
      <c r="M27" s="87">
        <v>0</v>
      </c>
      <c r="O27" s="106"/>
      <c r="Q27" s="107"/>
      <c r="R27" s="152"/>
      <c r="S27" s="108"/>
      <c r="U27" s="92">
        <v>7.37</v>
      </c>
      <c r="V27" s="93">
        <v>7.19</v>
      </c>
      <c r="W27" s="94">
        <v>7.26</v>
      </c>
      <c r="Y27" s="89">
        <v>15.2</v>
      </c>
      <c r="Z27" s="95">
        <v>14.6</v>
      </c>
      <c r="AA27" s="91">
        <v>14.6</v>
      </c>
      <c r="AC27" s="92">
        <v>9</v>
      </c>
      <c r="AD27" s="90">
        <v>0</v>
      </c>
      <c r="AE27" s="96">
        <v>0</v>
      </c>
      <c r="AG27" s="45">
        <f t="shared" si="2"/>
        <v>16</v>
      </c>
      <c r="AH27" s="281"/>
      <c r="AI27" s="97"/>
      <c r="AJ27" s="55">
        <f t="shared" si="3"/>
      </c>
      <c r="AK27" s="97"/>
      <c r="AL27" s="55">
        <f t="shared" si="4"/>
      </c>
      <c r="AM27" s="97"/>
      <c r="AN27" s="55">
        <f t="shared" si="5"/>
      </c>
      <c r="AO27" s="109"/>
      <c r="AQ27" s="99"/>
      <c r="AR27" s="55">
        <f t="shared" si="6"/>
      </c>
      <c r="AS27" s="97"/>
      <c r="AT27" s="55">
        <f t="shared" si="7"/>
      </c>
      <c r="AU27" s="97"/>
      <c r="AV27" s="55">
        <f t="shared" si="8"/>
      </c>
      <c r="AX27" s="99"/>
      <c r="AY27" s="100"/>
      <c r="AZ27" s="101"/>
      <c r="BA27" s="97"/>
      <c r="BB27" s="101"/>
      <c r="BC27" s="97"/>
      <c r="BD27" s="97"/>
      <c r="BE27" s="102"/>
      <c r="BG27" s="99">
        <v>12</v>
      </c>
      <c r="BH27" s="83" t="s">
        <v>210</v>
      </c>
      <c r="BI27" s="103" t="s">
        <v>211</v>
      </c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4">
        <v>3202043</v>
      </c>
      <c r="D28" s="137">
        <f t="shared" si="0"/>
        <v>2.067</v>
      </c>
      <c r="E28" s="139">
        <v>3.8</v>
      </c>
      <c r="F28" s="140">
        <v>0.4</v>
      </c>
      <c r="G28" s="81" t="str">
        <f t="shared" si="1"/>
        <v>0.00</v>
      </c>
      <c r="H28" s="84">
        <v>2500</v>
      </c>
      <c r="I28" s="85">
        <v>7750</v>
      </c>
      <c r="K28" s="86" t="s">
        <v>209</v>
      </c>
      <c r="L28" s="84">
        <v>34</v>
      </c>
      <c r="M28" s="87">
        <v>0</v>
      </c>
      <c r="O28" s="106"/>
      <c r="Q28" s="107"/>
      <c r="R28" s="152"/>
      <c r="S28" s="108"/>
      <c r="U28" s="92">
        <v>7.28</v>
      </c>
      <c r="V28" s="93">
        <v>7.14</v>
      </c>
      <c r="W28" s="94">
        <v>6.95</v>
      </c>
      <c r="Y28" s="89">
        <v>15.1</v>
      </c>
      <c r="Z28" s="95">
        <v>14.3</v>
      </c>
      <c r="AA28" s="91">
        <v>14.2</v>
      </c>
      <c r="AC28" s="92">
        <v>6.5</v>
      </c>
      <c r="AD28" s="90">
        <v>0.1</v>
      </c>
      <c r="AE28" s="96">
        <v>0</v>
      </c>
      <c r="AG28" s="45">
        <f t="shared" si="2"/>
        <v>17</v>
      </c>
      <c r="AH28" s="281"/>
      <c r="AI28" s="97">
        <v>393</v>
      </c>
      <c r="AJ28" s="55">
        <f t="shared" si="3"/>
        <v>6774.84054</v>
      </c>
      <c r="AK28" s="97"/>
      <c r="AL28" s="55">
        <f t="shared" si="4"/>
      </c>
      <c r="AM28" s="97">
        <v>22</v>
      </c>
      <c r="AN28" s="55">
        <f t="shared" si="5"/>
        <v>379.25316000000004</v>
      </c>
      <c r="AO28" s="109">
        <v>12</v>
      </c>
      <c r="AQ28" s="99">
        <v>342</v>
      </c>
      <c r="AR28" s="55">
        <f t="shared" si="6"/>
        <v>5895.662760000001</v>
      </c>
      <c r="AS28" s="97"/>
      <c r="AT28" s="55">
        <f t="shared" si="7"/>
      </c>
      <c r="AU28" s="97">
        <v>24</v>
      </c>
      <c r="AV28" s="55">
        <f t="shared" si="8"/>
        <v>413.73072</v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71" t="s">
        <v>150</v>
      </c>
      <c r="BR28" s="271" t="s">
        <v>150</v>
      </c>
      <c r="BS28" s="271" t="s">
        <v>150</v>
      </c>
      <c r="BT28" s="271"/>
      <c r="BU28" s="271" t="s">
        <v>150</v>
      </c>
      <c r="BV28" s="71">
        <f>(CM23)</f>
        <v>0.0033333333333333335</v>
      </c>
      <c r="BW28" s="71">
        <f>MAX(AE12:AE42)</f>
        <v>0.01</v>
      </c>
      <c r="BX28" s="26" t="s">
        <v>128</v>
      </c>
      <c r="BY28" s="26"/>
      <c r="BZ28" s="26">
        <v>0</v>
      </c>
      <c r="CA28" s="266" t="s">
        <v>48</v>
      </c>
      <c r="CB28" s="26" t="s">
        <v>23</v>
      </c>
      <c r="CC28" s="136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4">
        <v>3204268</v>
      </c>
      <c r="D29" s="137">
        <f t="shared" si="0"/>
        <v>2.225</v>
      </c>
      <c r="E29" s="139">
        <v>4.1</v>
      </c>
      <c r="F29" s="140">
        <v>0.4</v>
      </c>
      <c r="G29" s="81" t="str">
        <f t="shared" si="1"/>
        <v>0.00</v>
      </c>
      <c r="H29" s="84">
        <v>2150</v>
      </c>
      <c r="I29" s="85">
        <v>4000</v>
      </c>
      <c r="K29" s="86" t="s">
        <v>209</v>
      </c>
      <c r="L29" s="84">
        <v>43</v>
      </c>
      <c r="M29" s="87">
        <v>0</v>
      </c>
      <c r="O29" s="106"/>
      <c r="Q29" s="107"/>
      <c r="R29" s="152"/>
      <c r="S29" s="108"/>
      <c r="U29" s="92">
        <v>7.45</v>
      </c>
      <c r="V29" s="93">
        <v>7.21</v>
      </c>
      <c r="W29" s="94">
        <v>6.95</v>
      </c>
      <c r="Y29" s="89">
        <v>15.1</v>
      </c>
      <c r="Z29" s="95">
        <v>14.7</v>
      </c>
      <c r="AA29" s="91">
        <v>14.1</v>
      </c>
      <c r="AC29" s="92">
        <v>15</v>
      </c>
      <c r="AD29" s="90">
        <v>0.1</v>
      </c>
      <c r="AE29" s="96">
        <v>0</v>
      </c>
      <c r="AG29" s="45">
        <f t="shared" si="2"/>
        <v>18</v>
      </c>
      <c r="AH29" s="281"/>
      <c r="AI29" s="97">
        <v>337</v>
      </c>
      <c r="AJ29" s="55">
        <f t="shared" si="3"/>
        <v>6253.5405</v>
      </c>
      <c r="AK29" s="97"/>
      <c r="AL29" s="55">
        <f t="shared" si="4"/>
      </c>
      <c r="AM29" s="97">
        <v>22</v>
      </c>
      <c r="AN29" s="55">
        <f t="shared" si="5"/>
        <v>408.243</v>
      </c>
      <c r="AO29" s="109">
        <v>14</v>
      </c>
      <c r="AQ29" s="99">
        <v>364</v>
      </c>
      <c r="AR29" s="55">
        <f t="shared" si="6"/>
        <v>6754.566</v>
      </c>
      <c r="AS29" s="97"/>
      <c r="AT29" s="55">
        <f t="shared" si="7"/>
      </c>
      <c r="AU29" s="97">
        <v>32</v>
      </c>
      <c r="AV29" s="55">
        <f t="shared" si="8"/>
        <v>593.808</v>
      </c>
      <c r="AX29" s="99">
        <v>47597</v>
      </c>
      <c r="AY29" s="100">
        <v>3</v>
      </c>
      <c r="AZ29" s="101">
        <v>3</v>
      </c>
      <c r="BA29" s="97">
        <v>31</v>
      </c>
      <c r="BB29" s="101">
        <v>27</v>
      </c>
      <c r="BC29" s="97">
        <v>24</v>
      </c>
      <c r="BD29" s="97"/>
      <c r="BE29" s="102"/>
      <c r="BG29" s="99">
        <v>24</v>
      </c>
      <c r="BH29" s="83" t="s">
        <v>210</v>
      </c>
      <c r="BI29" s="103" t="s">
        <v>211</v>
      </c>
      <c r="BK29" s="17"/>
      <c r="BL29" s="19"/>
      <c r="BM29" s="26" t="s">
        <v>86</v>
      </c>
      <c r="BN29" s="20"/>
      <c r="BO29" s="153" t="s">
        <v>131</v>
      </c>
      <c r="BP29" s="26"/>
      <c r="BQ29" s="269" t="s">
        <v>150</v>
      </c>
      <c r="BR29" s="269" t="s">
        <v>150</v>
      </c>
      <c r="BS29" s="269" t="s">
        <v>150</v>
      </c>
      <c r="BT29" s="271"/>
      <c r="BU29" s="269" t="s">
        <v>150</v>
      </c>
      <c r="BV29" s="154" t="s">
        <v>146</v>
      </c>
      <c r="BW29" s="154">
        <v>0.3</v>
      </c>
      <c r="BX29" s="154" t="s">
        <v>128</v>
      </c>
      <c r="BY29" s="26"/>
      <c r="BZ29" s="269" t="s">
        <v>150</v>
      </c>
      <c r="CA29" s="270" t="s">
        <v>48</v>
      </c>
      <c r="CB29" s="154" t="s">
        <v>23</v>
      </c>
      <c r="CC29" s="136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4">
        <v>3206384</v>
      </c>
      <c r="D30" s="137">
        <f t="shared" si="0"/>
        <v>2.116</v>
      </c>
      <c r="E30" s="139">
        <v>4.6</v>
      </c>
      <c r="F30" s="140">
        <v>0.4</v>
      </c>
      <c r="G30" s="81" t="str">
        <f t="shared" si="1"/>
        <v>0.00</v>
      </c>
      <c r="H30" s="84">
        <v>1200</v>
      </c>
      <c r="I30" s="85">
        <v>9000</v>
      </c>
      <c r="K30" s="86" t="s">
        <v>209</v>
      </c>
      <c r="L30" s="84">
        <v>43</v>
      </c>
      <c r="M30" s="87">
        <v>0</v>
      </c>
      <c r="O30" s="106"/>
      <c r="Q30" s="107" t="s">
        <v>12</v>
      </c>
      <c r="R30" s="152" t="s">
        <v>12</v>
      </c>
      <c r="S30" s="108" t="s">
        <v>12</v>
      </c>
      <c r="U30" s="92">
        <v>7.32</v>
      </c>
      <c r="V30" s="93">
        <v>7.16</v>
      </c>
      <c r="W30" s="94">
        <v>7.02</v>
      </c>
      <c r="Y30" s="89">
        <v>15.1</v>
      </c>
      <c r="Z30" s="95">
        <v>15.6</v>
      </c>
      <c r="AA30" s="91">
        <v>15.9</v>
      </c>
      <c r="AC30" s="92">
        <v>5</v>
      </c>
      <c r="AD30" s="90">
        <v>0</v>
      </c>
      <c r="AE30" s="96">
        <v>0</v>
      </c>
      <c r="AG30" s="45">
        <f t="shared" si="2"/>
        <v>19</v>
      </c>
      <c r="AH30" s="281"/>
      <c r="AI30" s="97">
        <v>355</v>
      </c>
      <c r="AJ30" s="55">
        <f t="shared" si="3"/>
        <v>6264.841200000001</v>
      </c>
      <c r="AK30" s="97">
        <v>209</v>
      </c>
      <c r="AL30" s="55">
        <f t="shared" si="4"/>
        <v>3688.31496</v>
      </c>
      <c r="AM30" s="97">
        <v>17</v>
      </c>
      <c r="AN30" s="55">
        <f t="shared" si="5"/>
        <v>300.00648</v>
      </c>
      <c r="AO30" s="109">
        <v>9</v>
      </c>
      <c r="AQ30" s="99">
        <v>290</v>
      </c>
      <c r="AR30" s="55">
        <f t="shared" si="6"/>
        <v>5117.7576</v>
      </c>
      <c r="AS30" s="97">
        <v>93</v>
      </c>
      <c r="AT30" s="55">
        <f t="shared" si="7"/>
        <v>1641.21192</v>
      </c>
      <c r="AU30" s="97">
        <v>26</v>
      </c>
      <c r="AV30" s="55">
        <f t="shared" si="8"/>
        <v>458.83344000000005</v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2">
        <v>3208419</v>
      </c>
      <c r="D31" s="138">
        <f t="shared" si="0"/>
        <v>2.035</v>
      </c>
      <c r="E31" s="141">
        <v>3.4</v>
      </c>
      <c r="F31" s="142">
        <v>0.4</v>
      </c>
      <c r="G31" s="183" t="str">
        <f t="shared" si="1"/>
        <v>0.00</v>
      </c>
      <c r="H31" s="112">
        <v>0</v>
      </c>
      <c r="I31" s="113">
        <v>0</v>
      </c>
      <c r="K31" s="114" t="s">
        <v>209</v>
      </c>
      <c r="L31" s="112">
        <v>37</v>
      </c>
      <c r="M31" s="115">
        <v>0</v>
      </c>
      <c r="O31" s="116"/>
      <c r="Q31" s="107"/>
      <c r="R31" s="152"/>
      <c r="S31" s="108"/>
      <c r="U31" s="117">
        <v>7.24</v>
      </c>
      <c r="V31" s="118">
        <v>7.07</v>
      </c>
      <c r="W31" s="119">
        <v>6.63</v>
      </c>
      <c r="Y31" s="120">
        <v>14.6</v>
      </c>
      <c r="Z31" s="121">
        <v>14.1</v>
      </c>
      <c r="AA31" s="122">
        <v>14.5</v>
      </c>
      <c r="AC31" s="117">
        <v>10</v>
      </c>
      <c r="AD31" s="123">
        <v>0.01</v>
      </c>
      <c r="AE31" s="124">
        <v>0</v>
      </c>
      <c r="AG31" s="45">
        <f t="shared" si="2"/>
        <v>20</v>
      </c>
      <c r="AH31" s="281"/>
      <c r="AI31" s="125"/>
      <c r="AJ31" s="65">
        <f t="shared" si="3"/>
      </c>
      <c r="AK31" s="125"/>
      <c r="AL31" s="65">
        <f t="shared" si="4"/>
      </c>
      <c r="AM31" s="125"/>
      <c r="AN31" s="65">
        <f t="shared" si="5"/>
      </c>
      <c r="AO31" s="126"/>
      <c r="AQ31" s="127"/>
      <c r="AR31" s="65">
        <f t="shared" si="6"/>
      </c>
      <c r="AS31" s="125"/>
      <c r="AT31" s="65">
        <f t="shared" si="7"/>
      </c>
      <c r="AU31" s="125"/>
      <c r="AV31" s="65">
        <f t="shared" si="8"/>
      </c>
      <c r="AX31" s="127"/>
      <c r="AY31" s="128"/>
      <c r="AZ31" s="129"/>
      <c r="BA31" s="125"/>
      <c r="BB31" s="129"/>
      <c r="BC31" s="125"/>
      <c r="BD31" s="125"/>
      <c r="BE31" s="130"/>
      <c r="BG31" s="127"/>
      <c r="BH31" s="110"/>
      <c r="BI31" s="131"/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4">
        <v>3210398</v>
      </c>
      <c r="D32" s="137">
        <f t="shared" si="0"/>
        <v>1.979</v>
      </c>
      <c r="E32" s="139">
        <v>3.6</v>
      </c>
      <c r="F32" s="140">
        <v>0.4</v>
      </c>
      <c r="G32" s="81" t="str">
        <f t="shared" si="1"/>
        <v>0.00</v>
      </c>
      <c r="H32" s="84">
        <v>0</v>
      </c>
      <c r="I32" s="85">
        <v>0</v>
      </c>
      <c r="K32" s="86" t="s">
        <v>213</v>
      </c>
      <c r="L32" s="84">
        <v>38</v>
      </c>
      <c r="M32" s="87">
        <v>0.05</v>
      </c>
      <c r="O32" s="106"/>
      <c r="Q32" s="107" t="s">
        <v>13</v>
      </c>
      <c r="R32" s="152" t="s">
        <v>13</v>
      </c>
      <c r="S32" s="108" t="s">
        <v>13</v>
      </c>
      <c r="U32" s="92">
        <v>7.18</v>
      </c>
      <c r="V32" s="93">
        <v>7.05</v>
      </c>
      <c r="W32" s="94">
        <v>6.61</v>
      </c>
      <c r="Y32" s="89">
        <v>14.2</v>
      </c>
      <c r="Z32" s="95">
        <v>14.1</v>
      </c>
      <c r="AA32" s="91">
        <v>14.4</v>
      </c>
      <c r="AC32" s="92">
        <v>6</v>
      </c>
      <c r="AD32" s="90">
        <v>0.01</v>
      </c>
      <c r="AE32" s="96">
        <v>0</v>
      </c>
      <c r="AG32" s="45">
        <f t="shared" si="2"/>
        <v>21</v>
      </c>
      <c r="AH32" s="281"/>
      <c r="AI32" s="97"/>
      <c r="AJ32" s="55">
        <f t="shared" si="3"/>
      </c>
      <c r="AK32" s="97"/>
      <c r="AL32" s="55">
        <f t="shared" si="4"/>
      </c>
      <c r="AM32" s="97"/>
      <c r="AN32" s="55">
        <f t="shared" si="5"/>
      </c>
      <c r="AO32" s="109"/>
      <c r="AQ32" s="99"/>
      <c r="AR32" s="55">
        <f t="shared" si="6"/>
      </c>
      <c r="AS32" s="97"/>
      <c r="AT32" s="55">
        <f t="shared" si="7"/>
      </c>
      <c r="AU32" s="97"/>
      <c r="AV32" s="55">
        <f t="shared" si="8"/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4">
        <v>3212395</v>
      </c>
      <c r="D33" s="137">
        <f t="shared" si="0"/>
        <v>1.997</v>
      </c>
      <c r="E33" s="139">
        <v>3.6</v>
      </c>
      <c r="F33" s="140">
        <v>0.4</v>
      </c>
      <c r="G33" s="81" t="str">
        <f t="shared" si="1"/>
        <v>0.00</v>
      </c>
      <c r="H33" s="84">
        <v>4300</v>
      </c>
      <c r="I33" s="85">
        <v>4000</v>
      </c>
      <c r="K33" s="86" t="s">
        <v>208</v>
      </c>
      <c r="L33" s="84">
        <v>40</v>
      </c>
      <c r="M33" s="87">
        <v>0.02</v>
      </c>
      <c r="O33" s="106"/>
      <c r="Q33" s="107"/>
      <c r="R33" s="152"/>
      <c r="S33" s="108"/>
      <c r="U33" s="92">
        <v>7.32</v>
      </c>
      <c r="V33" s="93">
        <v>7.02</v>
      </c>
      <c r="W33" s="94">
        <v>7.05</v>
      </c>
      <c r="Y33" s="89">
        <v>14.8</v>
      </c>
      <c r="Z33" s="95">
        <v>14.8</v>
      </c>
      <c r="AA33" s="91">
        <v>15</v>
      </c>
      <c r="AC33" s="92">
        <v>8.5</v>
      </c>
      <c r="AD33" s="90">
        <v>0.01</v>
      </c>
      <c r="AE33" s="96">
        <v>0</v>
      </c>
      <c r="AG33" s="45">
        <f t="shared" si="2"/>
        <v>22</v>
      </c>
      <c r="AH33" s="281"/>
      <c r="AI33" s="97">
        <v>270</v>
      </c>
      <c r="AJ33" s="55">
        <f t="shared" si="3"/>
        <v>4496.8446</v>
      </c>
      <c r="AK33" s="97"/>
      <c r="AL33" s="55">
        <f t="shared" si="4"/>
      </c>
      <c r="AM33" s="97">
        <v>15</v>
      </c>
      <c r="AN33" s="55">
        <f t="shared" si="5"/>
        <v>249.8247</v>
      </c>
      <c r="AO33" s="109">
        <v>10</v>
      </c>
      <c r="AQ33" s="99">
        <v>224</v>
      </c>
      <c r="AR33" s="55">
        <f t="shared" si="6"/>
        <v>3730.71552</v>
      </c>
      <c r="AS33" s="97"/>
      <c r="AT33" s="55">
        <f t="shared" si="7"/>
      </c>
      <c r="AU33" s="97">
        <v>23</v>
      </c>
      <c r="AV33" s="55">
        <f t="shared" si="8"/>
        <v>383.06454</v>
      </c>
      <c r="AX33" s="99">
        <v>39442</v>
      </c>
      <c r="AY33" s="100">
        <v>4</v>
      </c>
      <c r="AZ33" s="101">
        <v>2.75</v>
      </c>
      <c r="BA33" s="97">
        <v>27.9</v>
      </c>
      <c r="BB33" s="101">
        <v>27</v>
      </c>
      <c r="BC33" s="97">
        <v>20</v>
      </c>
      <c r="BD33" s="97"/>
      <c r="BE33" s="102"/>
      <c r="BG33" s="99">
        <v>20</v>
      </c>
      <c r="BH33" s="83" t="s">
        <v>210</v>
      </c>
      <c r="BI33" s="103" t="s">
        <v>211</v>
      </c>
      <c r="BK33" s="17"/>
      <c r="BL33" s="19"/>
      <c r="BM33" s="56" t="s">
        <v>1</v>
      </c>
      <c r="BN33" s="20"/>
      <c r="BO33" s="57" t="s">
        <v>130</v>
      </c>
      <c r="BP33" s="26"/>
      <c r="BQ33" s="273">
        <f>(D47)</f>
        <v>2.1957000000000004</v>
      </c>
      <c r="BR33" s="273">
        <f>(D45)</f>
        <v>2.891</v>
      </c>
      <c r="BS33" s="26" t="s">
        <v>127</v>
      </c>
      <c r="BT33" s="26"/>
      <c r="BU33" s="271" t="s">
        <v>150</v>
      </c>
      <c r="BV33" s="271" t="s">
        <v>150</v>
      </c>
      <c r="BW33" s="271" t="s">
        <v>150</v>
      </c>
      <c r="BX33" s="271" t="s">
        <v>150</v>
      </c>
      <c r="BY33" s="26"/>
      <c r="BZ33" s="26">
        <v>0</v>
      </c>
      <c r="CA33" s="75" t="s">
        <v>24</v>
      </c>
      <c r="CB33" s="26" t="s">
        <v>25</v>
      </c>
      <c r="CC33" s="136"/>
      <c r="CJ33" s="338" t="s">
        <v>17</v>
      </c>
      <c r="CK33" s="340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4">
        <v>3214462</v>
      </c>
      <c r="D34" s="137">
        <f t="shared" si="0"/>
        <v>2.067</v>
      </c>
      <c r="E34" s="139">
        <v>4.2</v>
      </c>
      <c r="F34" s="140">
        <v>0.4</v>
      </c>
      <c r="G34" s="81" t="str">
        <f t="shared" si="1"/>
        <v>0.00</v>
      </c>
      <c r="H34" s="84">
        <v>5500</v>
      </c>
      <c r="I34" s="85">
        <v>9250</v>
      </c>
      <c r="K34" s="86" t="s">
        <v>209</v>
      </c>
      <c r="L34" s="84">
        <v>38</v>
      </c>
      <c r="M34" s="87">
        <v>0</v>
      </c>
      <c r="O34" s="106"/>
      <c r="Q34" s="107" t="s">
        <v>14</v>
      </c>
      <c r="R34" s="152" t="s">
        <v>14</v>
      </c>
      <c r="S34" s="108" t="s">
        <v>14</v>
      </c>
      <c r="U34" s="92">
        <v>7.39</v>
      </c>
      <c r="V34" s="93">
        <v>7.16</v>
      </c>
      <c r="W34" s="94">
        <v>7.15</v>
      </c>
      <c r="Y34" s="89">
        <v>15.1</v>
      </c>
      <c r="Z34" s="95">
        <v>13.9</v>
      </c>
      <c r="AA34" s="91">
        <v>13.8</v>
      </c>
      <c r="AC34" s="92">
        <v>10</v>
      </c>
      <c r="AD34" s="90">
        <v>0.01</v>
      </c>
      <c r="AE34" s="96">
        <v>0</v>
      </c>
      <c r="AG34" s="45">
        <f t="shared" si="2"/>
        <v>23</v>
      </c>
      <c r="AH34" s="281"/>
      <c r="AI34" s="97">
        <v>310</v>
      </c>
      <c r="AJ34" s="55">
        <f t="shared" si="3"/>
        <v>5344.0218</v>
      </c>
      <c r="AK34" s="97"/>
      <c r="AL34" s="55">
        <f t="shared" si="4"/>
      </c>
      <c r="AM34" s="97">
        <v>15</v>
      </c>
      <c r="AN34" s="55">
        <f t="shared" si="5"/>
        <v>258.5817</v>
      </c>
      <c r="AO34" s="109">
        <v>8</v>
      </c>
      <c r="AQ34" s="99">
        <v>294</v>
      </c>
      <c r="AR34" s="55">
        <f t="shared" si="6"/>
        <v>5068.201320000001</v>
      </c>
      <c r="AS34" s="97"/>
      <c r="AT34" s="55">
        <f t="shared" si="7"/>
      </c>
      <c r="AU34" s="97">
        <v>23</v>
      </c>
      <c r="AV34" s="55">
        <f t="shared" si="8"/>
        <v>396.49194</v>
      </c>
      <c r="AX34" s="99"/>
      <c r="AY34" s="100"/>
      <c r="AZ34" s="101"/>
      <c r="BA34" s="97"/>
      <c r="BB34" s="101"/>
      <c r="BC34" s="97"/>
      <c r="BD34" s="97"/>
      <c r="BE34" s="102"/>
      <c r="BG34" s="99"/>
      <c r="BH34" s="83"/>
      <c r="BI34" s="103"/>
      <c r="BK34" s="17"/>
      <c r="BL34" s="19"/>
      <c r="BM34" s="26" t="s">
        <v>86</v>
      </c>
      <c r="BN34" s="20"/>
      <c r="BO34" s="153" t="s">
        <v>131</v>
      </c>
      <c r="BP34" s="26"/>
      <c r="BQ34" s="274">
        <v>3.85</v>
      </c>
      <c r="BR34" s="154" t="s">
        <v>146</v>
      </c>
      <c r="BS34" s="154" t="s">
        <v>127</v>
      </c>
      <c r="BT34" s="26"/>
      <c r="BU34" s="269" t="s">
        <v>150</v>
      </c>
      <c r="BV34" s="269" t="s">
        <v>150</v>
      </c>
      <c r="BW34" s="269" t="s">
        <v>150</v>
      </c>
      <c r="BX34" s="269" t="s">
        <v>150</v>
      </c>
      <c r="BY34" s="26"/>
      <c r="BZ34" s="269" t="s">
        <v>150</v>
      </c>
      <c r="CA34" s="275" t="s">
        <v>24</v>
      </c>
      <c r="CB34" s="154" t="s">
        <v>25</v>
      </c>
      <c r="CC34" s="136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4">
        <v>3216752</v>
      </c>
      <c r="D35" s="137">
        <f t="shared" si="0"/>
        <v>2.29</v>
      </c>
      <c r="E35" s="139">
        <v>4.6</v>
      </c>
      <c r="F35" s="140">
        <v>0.6</v>
      </c>
      <c r="G35" s="81" t="str">
        <f t="shared" si="1"/>
        <v>0.00</v>
      </c>
      <c r="H35" s="84">
        <v>1000</v>
      </c>
      <c r="I35" s="85">
        <v>4750</v>
      </c>
      <c r="K35" s="86" t="s">
        <v>213</v>
      </c>
      <c r="L35" s="84">
        <v>47</v>
      </c>
      <c r="M35" s="87">
        <v>0.39</v>
      </c>
      <c r="O35" s="106"/>
      <c r="Q35" s="107"/>
      <c r="R35" s="152"/>
      <c r="S35" s="108"/>
      <c r="U35" s="92">
        <v>7.43</v>
      </c>
      <c r="V35" s="93">
        <v>7.09</v>
      </c>
      <c r="W35" s="94">
        <v>6.97</v>
      </c>
      <c r="Y35" s="89">
        <v>15.4</v>
      </c>
      <c r="Z35" s="95">
        <v>15</v>
      </c>
      <c r="AA35" s="91">
        <v>15.2</v>
      </c>
      <c r="AC35" s="92">
        <v>9</v>
      </c>
      <c r="AD35" s="90">
        <v>0.01</v>
      </c>
      <c r="AE35" s="96">
        <v>0</v>
      </c>
      <c r="AG35" s="45">
        <f t="shared" si="2"/>
        <v>24</v>
      </c>
      <c r="AH35" s="281"/>
      <c r="AI35" s="97">
        <v>364</v>
      </c>
      <c r="AJ35" s="55">
        <f t="shared" si="3"/>
        <v>6951.8904</v>
      </c>
      <c r="AK35" s="97">
        <v>180</v>
      </c>
      <c r="AL35" s="55">
        <f t="shared" si="4"/>
        <v>3437.748</v>
      </c>
      <c r="AM35" s="97">
        <v>21</v>
      </c>
      <c r="AN35" s="55">
        <f t="shared" si="5"/>
        <v>401.0706</v>
      </c>
      <c r="AO35" s="109"/>
      <c r="AQ35" s="99">
        <v>256</v>
      </c>
      <c r="AR35" s="55">
        <f t="shared" si="6"/>
        <v>4889.2416</v>
      </c>
      <c r="AS35" s="97">
        <v>83</v>
      </c>
      <c r="AT35" s="55">
        <f t="shared" si="7"/>
        <v>1585.1838</v>
      </c>
      <c r="AU35" s="97">
        <v>26</v>
      </c>
      <c r="AV35" s="55">
        <f t="shared" si="8"/>
        <v>496.5636</v>
      </c>
      <c r="AX35" s="99">
        <v>25063</v>
      </c>
      <c r="AY35" s="100">
        <v>5</v>
      </c>
      <c r="AZ35" s="101">
        <v>2.5</v>
      </c>
      <c r="BA35" s="97">
        <v>18.6</v>
      </c>
      <c r="BB35" s="101">
        <v>28</v>
      </c>
      <c r="BC35" s="97">
        <v>12</v>
      </c>
      <c r="BD35" s="97"/>
      <c r="BE35" s="102"/>
      <c r="BG35" s="99">
        <v>12</v>
      </c>
      <c r="BH35" s="83" t="s">
        <v>210</v>
      </c>
      <c r="BI35" s="103" t="s">
        <v>211</v>
      </c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2">
        <v>3219277</v>
      </c>
      <c r="D36" s="138">
        <f t="shared" si="0"/>
        <v>2.525</v>
      </c>
      <c r="E36" s="141">
        <v>3.6</v>
      </c>
      <c r="F36" s="142">
        <v>0.6</v>
      </c>
      <c r="G36" s="183" t="str">
        <f t="shared" si="1"/>
        <v>0.00</v>
      </c>
      <c r="H36" s="112">
        <v>0</v>
      </c>
      <c r="I36" s="113">
        <v>0</v>
      </c>
      <c r="K36" s="114" t="s">
        <v>222</v>
      </c>
      <c r="L36" s="112">
        <v>51</v>
      </c>
      <c r="M36" s="115">
        <v>0.15</v>
      </c>
      <c r="O36" s="116"/>
      <c r="Q36" s="107" t="s">
        <v>12</v>
      </c>
      <c r="R36" s="152" t="s">
        <v>12</v>
      </c>
      <c r="S36" s="108" t="s">
        <v>12</v>
      </c>
      <c r="U36" s="117">
        <v>7.06</v>
      </c>
      <c r="V36" s="118">
        <v>6.96</v>
      </c>
      <c r="W36" s="119">
        <v>6.92</v>
      </c>
      <c r="Y36" s="120">
        <v>14.1</v>
      </c>
      <c r="Z36" s="121">
        <v>14.2</v>
      </c>
      <c r="AA36" s="122">
        <v>15.1</v>
      </c>
      <c r="AC36" s="117">
        <v>8</v>
      </c>
      <c r="AD36" s="123">
        <v>0.01</v>
      </c>
      <c r="AE36" s="124">
        <v>0</v>
      </c>
      <c r="AG36" s="45">
        <f t="shared" si="2"/>
        <v>25</v>
      </c>
      <c r="AH36" s="281"/>
      <c r="AI36" s="125"/>
      <c r="AJ36" s="65">
        <f t="shared" si="3"/>
      </c>
      <c r="AK36" s="125"/>
      <c r="AL36" s="65">
        <f t="shared" si="4"/>
      </c>
      <c r="AM36" s="125"/>
      <c r="AN36" s="65">
        <f t="shared" si="5"/>
      </c>
      <c r="AO36" s="126"/>
      <c r="AQ36" s="127"/>
      <c r="AR36" s="65">
        <f t="shared" si="6"/>
      </c>
      <c r="AS36" s="125"/>
      <c r="AT36" s="65">
        <f t="shared" si="7"/>
      </c>
      <c r="AU36" s="125"/>
      <c r="AV36" s="65">
        <f t="shared" si="8"/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4">
        <v>3221234</v>
      </c>
      <c r="D37" s="137">
        <f t="shared" si="0"/>
        <v>1.957</v>
      </c>
      <c r="E37" s="139">
        <v>4.4</v>
      </c>
      <c r="F37" s="140">
        <v>0.6</v>
      </c>
      <c r="G37" s="81" t="str">
        <f t="shared" si="1"/>
        <v>0.00</v>
      </c>
      <c r="H37" s="84">
        <v>0</v>
      </c>
      <c r="I37" s="85">
        <v>0</v>
      </c>
      <c r="K37" s="86" t="s">
        <v>209</v>
      </c>
      <c r="L37" s="84">
        <v>31</v>
      </c>
      <c r="M37" s="87">
        <v>0.51</v>
      </c>
      <c r="O37" s="106"/>
      <c r="Q37" s="107"/>
      <c r="R37" s="152"/>
      <c r="S37" s="108"/>
      <c r="U37" s="92">
        <v>7.19</v>
      </c>
      <c r="V37" s="93">
        <v>7.03</v>
      </c>
      <c r="W37" s="94">
        <v>6.91</v>
      </c>
      <c r="Y37" s="89">
        <v>14</v>
      </c>
      <c r="Z37" s="95">
        <v>13.7</v>
      </c>
      <c r="AA37" s="91">
        <v>13.3</v>
      </c>
      <c r="AC37" s="92">
        <v>5</v>
      </c>
      <c r="AD37" s="90">
        <v>0.01</v>
      </c>
      <c r="AE37" s="96">
        <v>0</v>
      </c>
      <c r="AG37" s="45">
        <f t="shared" si="2"/>
        <v>26</v>
      </c>
      <c r="AH37" s="281"/>
      <c r="AI37" s="97"/>
      <c r="AJ37" s="55">
        <f t="shared" si="3"/>
      </c>
      <c r="AK37" s="97"/>
      <c r="AL37" s="55">
        <f t="shared" si="4"/>
      </c>
      <c r="AM37" s="97"/>
      <c r="AN37" s="55">
        <f t="shared" si="5"/>
      </c>
      <c r="AO37" s="109"/>
      <c r="AQ37" s="99"/>
      <c r="AR37" s="55">
        <f t="shared" si="6"/>
      </c>
      <c r="AS37" s="97"/>
      <c r="AT37" s="55">
        <f t="shared" si="7"/>
      </c>
      <c r="AU37" s="97"/>
      <c r="AV37" s="55">
        <f t="shared" si="8"/>
      </c>
      <c r="AX37" s="99"/>
      <c r="AY37" s="100"/>
      <c r="AZ37" s="101"/>
      <c r="BA37" s="97"/>
      <c r="BB37" s="101"/>
      <c r="BC37" s="97"/>
      <c r="BD37" s="97"/>
      <c r="BE37" s="102"/>
      <c r="BG37" s="99"/>
      <c r="BH37" s="83"/>
      <c r="BI37" s="103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8">
        <f>(IF(((SUM(AJ12:AJ42))=0)," ",(((AJ47-(D47*AO47*8.346))/AJ47)*100)))</f>
        <v>96.98137905605523</v>
      </c>
      <c r="CK37" s="349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4">
        <v>3223291</v>
      </c>
      <c r="D38" s="137">
        <f t="shared" si="0"/>
        <v>2.057</v>
      </c>
      <c r="E38" s="139">
        <v>4.6</v>
      </c>
      <c r="F38" s="140">
        <v>0.6</v>
      </c>
      <c r="G38" s="81" t="str">
        <f t="shared" si="1"/>
        <v>0.00</v>
      </c>
      <c r="H38" s="84">
        <v>0</v>
      </c>
      <c r="I38" s="85">
        <v>1750</v>
      </c>
      <c r="K38" s="86" t="s">
        <v>209</v>
      </c>
      <c r="L38" s="84">
        <v>33</v>
      </c>
      <c r="M38" s="87">
        <v>0.27</v>
      </c>
      <c r="O38" s="106"/>
      <c r="Q38" s="107" t="s">
        <v>10</v>
      </c>
      <c r="R38" s="152" t="s">
        <v>10</v>
      </c>
      <c r="S38" s="108" t="s">
        <v>10</v>
      </c>
      <c r="U38" s="92">
        <v>7.21</v>
      </c>
      <c r="V38" s="93">
        <v>7.07</v>
      </c>
      <c r="W38" s="94">
        <v>6.44</v>
      </c>
      <c r="Y38" s="89">
        <v>13.8</v>
      </c>
      <c r="Z38" s="95">
        <v>13.4</v>
      </c>
      <c r="AA38" s="91">
        <v>12.9</v>
      </c>
      <c r="AC38" s="92">
        <v>10</v>
      </c>
      <c r="AD38" s="90">
        <v>0.01</v>
      </c>
      <c r="AE38" s="96">
        <v>0</v>
      </c>
      <c r="AG38" s="45">
        <f t="shared" si="2"/>
        <v>27</v>
      </c>
      <c r="AH38" s="281"/>
      <c r="AI38" s="97"/>
      <c r="AJ38" s="55">
        <f t="shared" si="3"/>
      </c>
      <c r="AK38" s="97"/>
      <c r="AL38" s="55">
        <f t="shared" si="4"/>
      </c>
      <c r="AM38" s="97"/>
      <c r="AN38" s="55">
        <f t="shared" si="5"/>
      </c>
      <c r="AO38" s="109"/>
      <c r="AQ38" s="99"/>
      <c r="AR38" s="55">
        <f t="shared" si="6"/>
      </c>
      <c r="AS38" s="97"/>
      <c r="AT38" s="55">
        <f t="shared" si="7"/>
      </c>
      <c r="AU38" s="97"/>
      <c r="AV38" s="55">
        <f t="shared" si="8"/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71" t="s">
        <v>150</v>
      </c>
      <c r="BR38" s="271" t="s">
        <v>150</v>
      </c>
      <c r="BS38" s="271" t="s">
        <v>150</v>
      </c>
      <c r="BT38" s="26"/>
      <c r="BU38" s="68">
        <f>(AN49)</f>
        <v>94.71359979148501</v>
      </c>
      <c r="BV38" s="271" t="s">
        <v>150</v>
      </c>
      <c r="BW38" s="271" t="s">
        <v>150</v>
      </c>
      <c r="BX38" s="26" t="s">
        <v>129</v>
      </c>
      <c r="BY38" s="26"/>
      <c r="BZ38" s="26">
        <v>0</v>
      </c>
      <c r="CA38" s="266" t="s">
        <v>49</v>
      </c>
      <c r="CB38" s="26" t="s">
        <v>26</v>
      </c>
      <c r="CC38" s="136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4">
        <v>3225342</v>
      </c>
      <c r="D39" s="137">
        <f t="shared" si="0"/>
        <v>2.051</v>
      </c>
      <c r="E39" s="139">
        <v>5.4</v>
      </c>
      <c r="F39" s="140">
        <v>0.8</v>
      </c>
      <c r="G39" s="81" t="str">
        <f t="shared" si="1"/>
        <v>0.00</v>
      </c>
      <c r="H39" s="84">
        <v>0</v>
      </c>
      <c r="I39" s="85">
        <v>0</v>
      </c>
      <c r="K39" s="86" t="s">
        <v>208</v>
      </c>
      <c r="L39" s="84">
        <v>46</v>
      </c>
      <c r="M39" s="87">
        <v>0.13</v>
      </c>
      <c r="O39" s="106"/>
      <c r="Q39" s="107"/>
      <c r="R39" s="152"/>
      <c r="S39" s="108"/>
      <c r="U39" s="92">
        <v>7.11</v>
      </c>
      <c r="V39" s="93">
        <v>7.05</v>
      </c>
      <c r="W39" s="94">
        <v>7.01</v>
      </c>
      <c r="Y39" s="89">
        <v>14</v>
      </c>
      <c r="Z39" s="95">
        <v>13.7</v>
      </c>
      <c r="AA39" s="91">
        <v>13.6</v>
      </c>
      <c r="AC39" s="92">
        <v>2</v>
      </c>
      <c r="AD39" s="90">
        <v>0</v>
      </c>
      <c r="AE39" s="96">
        <v>0</v>
      </c>
      <c r="AG39" s="45">
        <f t="shared" si="2"/>
        <v>28</v>
      </c>
      <c r="AH39" s="281"/>
      <c r="AI39" s="97"/>
      <c r="AJ39" s="55">
        <f t="shared" si="3"/>
      </c>
      <c r="AK39" s="97"/>
      <c r="AL39" s="55">
        <f t="shared" si="4"/>
      </c>
      <c r="AM39" s="97"/>
      <c r="AN39" s="55">
        <f t="shared" si="5"/>
      </c>
      <c r="AO39" s="109"/>
      <c r="AQ39" s="99"/>
      <c r="AR39" s="55">
        <f t="shared" si="6"/>
      </c>
      <c r="AS39" s="97"/>
      <c r="AT39" s="55">
        <f t="shared" si="7"/>
      </c>
      <c r="AU39" s="97"/>
      <c r="AV39" s="55">
        <f t="shared" si="8"/>
      </c>
      <c r="AX39" s="99"/>
      <c r="AY39" s="100"/>
      <c r="AZ39" s="101"/>
      <c r="BA39" s="97"/>
      <c r="BB39" s="101"/>
      <c r="BC39" s="97"/>
      <c r="BD39" s="97"/>
      <c r="BE39" s="102"/>
      <c r="BG39" s="99"/>
      <c r="BH39" s="83"/>
      <c r="BI39" s="103"/>
      <c r="BK39" s="17"/>
      <c r="BL39" s="19"/>
      <c r="BM39" s="26" t="s">
        <v>118</v>
      </c>
      <c r="BN39" s="20"/>
      <c r="BO39" s="153" t="s">
        <v>131</v>
      </c>
      <c r="BP39" s="26"/>
      <c r="BQ39" s="269" t="s">
        <v>150</v>
      </c>
      <c r="BR39" s="269" t="s">
        <v>150</v>
      </c>
      <c r="BS39" s="269" t="s">
        <v>150</v>
      </c>
      <c r="BT39" s="26"/>
      <c r="BU39" s="272">
        <v>85</v>
      </c>
      <c r="BV39" s="269" t="s">
        <v>150</v>
      </c>
      <c r="BW39" s="269" t="s">
        <v>150</v>
      </c>
      <c r="BX39" s="154" t="s">
        <v>129</v>
      </c>
      <c r="BY39" s="26"/>
      <c r="BZ39" s="269" t="s">
        <v>150</v>
      </c>
      <c r="CA39" s="270" t="s">
        <v>49</v>
      </c>
      <c r="CB39" s="154" t="s">
        <v>26</v>
      </c>
      <c r="CC39" s="136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4">
        <v>3228018</v>
      </c>
      <c r="D40" s="137">
        <f t="shared" si="0"/>
        <v>2.676</v>
      </c>
      <c r="E40" s="139">
        <v>4.4</v>
      </c>
      <c r="F40" s="140">
        <v>0.6</v>
      </c>
      <c r="G40" s="81" t="str">
        <f t="shared" si="1"/>
        <v>0.00</v>
      </c>
      <c r="H40" s="84">
        <v>3600</v>
      </c>
      <c r="I40" s="85">
        <v>5750</v>
      </c>
      <c r="K40" s="86" t="s">
        <v>209</v>
      </c>
      <c r="L40" s="84">
        <v>41</v>
      </c>
      <c r="M40" s="87">
        <v>0.04</v>
      </c>
      <c r="O40" s="106"/>
      <c r="Q40" s="107" t="s">
        <v>15</v>
      </c>
      <c r="R40" s="152" t="s">
        <v>15</v>
      </c>
      <c r="S40" s="108" t="s">
        <v>15</v>
      </c>
      <c r="U40" s="92">
        <v>7.22</v>
      </c>
      <c r="V40" s="93">
        <v>7.08</v>
      </c>
      <c r="W40" s="94">
        <v>6.93</v>
      </c>
      <c r="Y40" s="89">
        <v>14.1</v>
      </c>
      <c r="Z40" s="95">
        <v>13.4</v>
      </c>
      <c r="AA40" s="91">
        <v>13.9</v>
      </c>
      <c r="AC40" s="92">
        <v>8</v>
      </c>
      <c r="AD40" s="90">
        <v>0.1</v>
      </c>
      <c r="AE40" s="96">
        <v>0</v>
      </c>
      <c r="AG40" s="45">
        <f t="shared" si="2"/>
        <v>29</v>
      </c>
      <c r="AH40" s="281"/>
      <c r="AI40" s="97"/>
      <c r="AJ40" s="55">
        <f t="shared" si="3"/>
      </c>
      <c r="AK40" s="97"/>
      <c r="AL40" s="55">
        <f t="shared" si="4"/>
      </c>
      <c r="AM40" s="97"/>
      <c r="AN40" s="55">
        <f t="shared" si="5"/>
      </c>
      <c r="AO40" s="109"/>
      <c r="AQ40" s="99"/>
      <c r="AR40" s="55">
        <f t="shared" si="6"/>
      </c>
      <c r="AS40" s="97"/>
      <c r="AT40" s="55">
        <f t="shared" si="7"/>
      </c>
      <c r="AU40" s="97"/>
      <c r="AV40" s="55">
        <f t="shared" si="8"/>
      </c>
      <c r="AX40" s="99">
        <v>48305</v>
      </c>
      <c r="AY40" s="100">
        <v>4</v>
      </c>
      <c r="AZ40" s="101">
        <v>3.25</v>
      </c>
      <c r="BA40" s="97">
        <v>31</v>
      </c>
      <c r="BB40" s="101">
        <v>27</v>
      </c>
      <c r="BC40" s="97">
        <v>24</v>
      </c>
      <c r="BD40" s="97"/>
      <c r="BE40" s="102"/>
      <c r="BG40" s="99">
        <v>24</v>
      </c>
      <c r="BH40" s="83" t="s">
        <v>210</v>
      </c>
      <c r="BI40" s="103" t="s">
        <v>211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4">
        <v>3230753</v>
      </c>
      <c r="D41" s="137">
        <f t="shared" si="0"/>
        <v>2.735</v>
      </c>
      <c r="E41" s="139">
        <v>4.3</v>
      </c>
      <c r="F41" s="140">
        <v>0.6</v>
      </c>
      <c r="G41" s="81" t="str">
        <f t="shared" si="1"/>
        <v>0.00</v>
      </c>
      <c r="H41" s="84">
        <v>2500</v>
      </c>
      <c r="I41" s="85">
        <v>7000</v>
      </c>
      <c r="K41" s="86" t="s">
        <v>209</v>
      </c>
      <c r="L41" s="84">
        <v>36</v>
      </c>
      <c r="M41" s="87">
        <v>0.01</v>
      </c>
      <c r="O41" s="106"/>
      <c r="Q41" s="107"/>
      <c r="R41" s="152"/>
      <c r="S41" s="108"/>
      <c r="U41" s="92">
        <v>7.26</v>
      </c>
      <c r="V41" s="93">
        <v>7.11</v>
      </c>
      <c r="W41" s="94">
        <v>7.1</v>
      </c>
      <c r="Y41" s="89">
        <v>14.2</v>
      </c>
      <c r="Z41" s="95">
        <v>13.4</v>
      </c>
      <c r="AA41" s="91">
        <v>13.6</v>
      </c>
      <c r="AC41" s="92">
        <v>9.5</v>
      </c>
      <c r="AD41" s="90">
        <v>0.01</v>
      </c>
      <c r="AE41" s="96">
        <v>0</v>
      </c>
      <c r="AG41" s="45">
        <f t="shared" si="2"/>
        <v>30</v>
      </c>
      <c r="AH41" s="281"/>
      <c r="AI41" s="97"/>
      <c r="AJ41" s="55">
        <f t="shared" si="3"/>
      </c>
      <c r="AK41" s="97"/>
      <c r="AL41" s="55">
        <f t="shared" si="4"/>
      </c>
      <c r="AM41" s="97"/>
      <c r="AN41" s="55">
        <f t="shared" si="5"/>
      </c>
      <c r="AO41" s="109"/>
      <c r="AQ41" s="99"/>
      <c r="AR41" s="55">
        <f t="shared" si="6"/>
      </c>
      <c r="AS41" s="97"/>
      <c r="AT41" s="55">
        <f t="shared" si="7"/>
      </c>
      <c r="AU41" s="97"/>
      <c r="AV41" s="55">
        <f t="shared" si="8"/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2"/>
      <c r="D42" s="138" t="str">
        <f t="shared" si="0"/>
        <v> </v>
      </c>
      <c r="E42" s="141"/>
      <c r="F42" s="142"/>
      <c r="G42" s="183" t="str">
        <f t="shared" si="1"/>
        <v> </v>
      </c>
      <c r="H42" s="112"/>
      <c r="I42" s="113"/>
      <c r="K42" s="114"/>
      <c r="L42" s="112"/>
      <c r="M42" s="115"/>
      <c r="O42" s="116"/>
      <c r="Q42" s="132"/>
      <c r="R42" s="111"/>
      <c r="S42" s="113"/>
      <c r="U42" s="133"/>
      <c r="V42" s="134"/>
      <c r="W42" s="135"/>
      <c r="Y42" s="132"/>
      <c r="Z42" s="112"/>
      <c r="AA42" s="113"/>
      <c r="AC42" s="133"/>
      <c r="AD42" s="111"/>
      <c r="AE42" s="115"/>
      <c r="AG42" s="45">
        <f t="shared" si="2"/>
        <v>31</v>
      </c>
      <c r="AH42" s="281"/>
      <c r="AI42" s="125"/>
      <c r="AJ42" s="65">
        <f t="shared" si="3"/>
      </c>
      <c r="AK42" s="125"/>
      <c r="AL42" s="65">
        <f t="shared" si="4"/>
      </c>
      <c r="AM42" s="125"/>
      <c r="AN42" s="65">
        <f t="shared" si="5"/>
      </c>
      <c r="AO42" s="126"/>
      <c r="AQ42" s="127"/>
      <c r="AR42" s="65">
        <f t="shared" si="6"/>
      </c>
      <c r="AS42" s="125"/>
      <c r="AT42" s="65">
        <f t="shared" si="7"/>
      </c>
      <c r="AU42" s="125"/>
      <c r="AV42" s="65">
        <f t="shared" si="8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1" t="s">
        <v>150</v>
      </c>
      <c r="BR43" s="271" t="s">
        <v>150</v>
      </c>
      <c r="BS43" s="271" t="s">
        <v>150</v>
      </c>
      <c r="BT43" s="26"/>
      <c r="BU43" s="68">
        <f>(AU49)</f>
        <v>91.73813607775872</v>
      </c>
      <c r="BV43" s="271" t="s">
        <v>150</v>
      </c>
      <c r="BW43" s="271" t="s">
        <v>150</v>
      </c>
      <c r="BX43" s="26" t="s">
        <v>129</v>
      </c>
      <c r="BY43" s="26"/>
      <c r="BZ43" s="26">
        <v>0</v>
      </c>
      <c r="CA43" s="266" t="s">
        <v>49</v>
      </c>
      <c r="CB43" s="26" t="s">
        <v>26</v>
      </c>
      <c r="CC43" s="136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8">
        <f>(IF(((SUM(C12:C42))=0)," ",((MAX(C12:C42))-C11)))</f>
        <v>65871</v>
      </c>
      <c r="D44" s="227">
        <f>(IF(((SUM(D12:D42))=0)," ",(SUM(D12:D42))))</f>
        <v>65.87100000000001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44250</v>
      </c>
      <c r="I44" s="195">
        <f>(IF(((SUM(I12:I42))=0)," ",(SUM(I12:I42))))</f>
        <v>136750</v>
      </c>
      <c r="K44" s="199" t="s">
        <v>150</v>
      </c>
      <c r="L44" s="200" t="s">
        <v>150</v>
      </c>
      <c r="M44" s="201">
        <f>(IF(((SUM(M12:M42))=0)," ",(SUM(M11:M42))))</f>
        <v>3.02</v>
      </c>
      <c r="O44" s="202" t="str">
        <f>(IF(((SUM(O12:O42))=0),"0.0",(SUM(O11:O42))))</f>
        <v>0.0</v>
      </c>
      <c r="Q44" s="198" t="str">
        <f>(IF(((SUM(Q12:Q42))=0),"0",(SUM(Q11:Q42))))</f>
        <v>0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412644</v>
      </c>
      <c r="AY44" s="200" t="s">
        <v>150</v>
      </c>
      <c r="AZ44" s="211">
        <f>(IF(((SUM(AZ12:AZ42))=0)," ",(SUM(AZ12:AZ42))))</f>
        <v>28.25</v>
      </c>
      <c r="BA44" s="198">
        <f>(IF(((SUM(BA12:BA42))=0)," ",(SUM(BA12:BA42))))</f>
        <v>282.1</v>
      </c>
      <c r="BB44" s="206" t="s">
        <v>150</v>
      </c>
      <c r="BC44" s="198">
        <f>(IF(((SUM(BC12:BC42))=0)," ",(SUM(BC12:BC42))))</f>
        <v>188</v>
      </c>
      <c r="BD44" s="188" t="str">
        <f>(IF(((SUM(BD12:BD42))=0)," ",(SUM(BD12:BD42))))</f>
        <v> </v>
      </c>
      <c r="BE44" s="209" t="s">
        <v>150</v>
      </c>
      <c r="BG44" s="198">
        <f>(IF(((SUM(BG12:BG42))=0)," ",(SUM(BG12:BG42))))</f>
        <v>188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69" t="s">
        <v>150</v>
      </c>
      <c r="BR44" s="269" t="s">
        <v>150</v>
      </c>
      <c r="BS44" s="269" t="s">
        <v>150</v>
      </c>
      <c r="BT44" s="26"/>
      <c r="BU44" s="272">
        <v>85</v>
      </c>
      <c r="BV44" s="269" t="s">
        <v>150</v>
      </c>
      <c r="BW44" s="269" t="s">
        <v>150</v>
      </c>
      <c r="BX44" s="154" t="s">
        <v>129</v>
      </c>
      <c r="BY44" s="26"/>
      <c r="BZ44" s="269" t="s">
        <v>150</v>
      </c>
      <c r="CA44" s="270" t="s">
        <v>49</v>
      </c>
      <c r="CB44" s="154" t="s">
        <v>26</v>
      </c>
      <c r="CC44" s="136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2.891</v>
      </c>
      <c r="E45" s="215">
        <f>(IF((SUM(E12:E42))=0," ",(MAX(E12:E42))))</f>
        <v>5.4</v>
      </c>
      <c r="F45" s="216">
        <f>(IF((SUM(F12:F42))=0," ",(MAX(F12:F42))))</f>
        <v>0.8</v>
      </c>
      <c r="G45" s="215">
        <f>(MAX(G12:G42))</f>
        <v>0</v>
      </c>
      <c r="H45" s="161">
        <f>(IF((SUM(H12:H42))=0," ",(MAX(H12:H42))))</f>
        <v>5500</v>
      </c>
      <c r="I45" s="162">
        <f>(IF((SUM(I12:I42))=0," ",(MAX(I12:I42))))</f>
        <v>11750</v>
      </c>
      <c r="K45" s="179" t="s">
        <v>150</v>
      </c>
      <c r="L45" s="182">
        <f>(IF((SUM(L12:L42))=0," ",(MAX(L12:L42))))</f>
        <v>51</v>
      </c>
      <c r="M45" s="218">
        <f>(IF((SUM(M12:M42))=0," ",(MAX(M12:M42))))</f>
        <v>0.51</v>
      </c>
      <c r="O45" s="219" t="s">
        <v>150</v>
      </c>
      <c r="Q45" s="220" t="s">
        <v>150</v>
      </c>
      <c r="R45" s="183" t="str">
        <f>(IF(((SUM(R12:R42))=0),"-",(MAX(R12:R42))))</f>
        <v>-</v>
      </c>
      <c r="S45" s="162" t="str">
        <f>(IF(((SUM(S12:S42))=0),"-",(MAX(S12:S42))))</f>
        <v>-</v>
      </c>
      <c r="U45" s="221">
        <f>(IF((SUM(U12:U42))=0," ",(MAX(U12:U42))))</f>
        <v>7.54</v>
      </c>
      <c r="V45" s="182">
        <f>(IF((SUM(V12:V42))=0," ",(MAX(V12:V42))))</f>
        <v>7.34</v>
      </c>
      <c r="W45" s="222">
        <f>(IF((SUM(W12:W42))=0," ",(MAX(W12:W42))))</f>
        <v>7.47</v>
      </c>
      <c r="Y45" s="217">
        <f>(IF((SUM(Y12:Y42))=0," ",(MAX(Y12:Y42))))</f>
        <v>16.4</v>
      </c>
      <c r="Z45" s="161">
        <f>(IF((SUM(Z12:Z42))=0," ",(MAX(Z12:Z42))))</f>
        <v>16.3</v>
      </c>
      <c r="AA45" s="162">
        <f>(IF((SUM(AA12:AA42))=0," ",(MAX(AA12:AA42))))</f>
        <v>16.9</v>
      </c>
      <c r="AC45" s="221">
        <f>(IF((SUM(AC12:AC42))=0," ",(MAX(AC12:AC42))))</f>
        <v>18</v>
      </c>
      <c r="AD45" s="183">
        <f>(IF((SUM(AD12:AD42))=0," ",(MAX(AD12:AD42))))</f>
        <v>2.5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393</v>
      </c>
      <c r="AJ45" s="161">
        <f t="shared" si="9"/>
        <v>6951.8904</v>
      </c>
      <c r="AK45" s="217">
        <f t="shared" si="9"/>
        <v>209</v>
      </c>
      <c r="AL45" s="162">
        <f t="shared" si="9"/>
        <v>3739.4891999999995</v>
      </c>
      <c r="AM45" s="217">
        <f t="shared" si="9"/>
        <v>22</v>
      </c>
      <c r="AN45" s="162">
        <f t="shared" si="9"/>
        <v>408.243</v>
      </c>
      <c r="AO45" s="223">
        <f t="shared" si="9"/>
        <v>14</v>
      </c>
      <c r="AQ45" s="217">
        <f aca="true" t="shared" si="10" ref="AQ45:AV45">(IF((SUM(AQ12:AQ42))=0," ",(MAX(AQ12:AQ42))))</f>
        <v>402</v>
      </c>
      <c r="AR45" s="162">
        <f t="shared" si="10"/>
        <v>7097.62356</v>
      </c>
      <c r="AS45" s="217">
        <f t="shared" si="10"/>
        <v>111</v>
      </c>
      <c r="AT45" s="162">
        <f t="shared" si="10"/>
        <v>2207.8898999999997</v>
      </c>
      <c r="AU45" s="217">
        <f t="shared" si="10"/>
        <v>32</v>
      </c>
      <c r="AV45" s="162">
        <f t="shared" si="10"/>
        <v>593.808</v>
      </c>
      <c r="AX45" s="220" t="s">
        <v>150</v>
      </c>
      <c r="AY45" s="182">
        <f>(IF((SUM(AY12:AY42))=0," ",(MAX(AY12:AY42))))</f>
        <v>5</v>
      </c>
      <c r="AZ45" s="224" t="s">
        <v>150</v>
      </c>
      <c r="BA45" s="220" t="s">
        <v>150</v>
      </c>
      <c r="BB45" s="222">
        <f>(IF((SUM(BB12:BB42))=0," ",(MAX(BB12:BB42))))</f>
        <v>28</v>
      </c>
      <c r="BC45" s="220" t="s">
        <v>150</v>
      </c>
      <c r="BD45" s="178" t="s">
        <v>150</v>
      </c>
      <c r="BE45" s="218" t="str">
        <f>(IF((SUM(BE12:BE42))=0," ",(MAX(BE12:BE42))))</f>
        <v> </v>
      </c>
      <c r="BG45" s="220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1.957</v>
      </c>
      <c r="E46" s="226">
        <f>(IF((SUM(E12:E42))=0," ",(MIN(E12:E42))))</f>
        <v>3.4</v>
      </c>
      <c r="F46" s="227">
        <f>(IF((SUM(F12:F42))=0," ",(MIN(F12:F42))))</f>
        <v>0.4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30</v>
      </c>
      <c r="M46" s="201">
        <f>(IF((SUM(M12:M42))=0," ",(MIN(M12:M42))))</f>
        <v>0</v>
      </c>
      <c r="O46" s="228" t="s">
        <v>150</v>
      </c>
      <c r="Q46" s="207" t="s">
        <v>150</v>
      </c>
      <c r="R46" s="190" t="str">
        <f>(IF(((SUM(R12:R42))=0),"-",(MIN(R12:R42))))</f>
        <v>-</v>
      </c>
      <c r="S46" s="195" t="str">
        <f>(IF(((SUM(S12:S42))=0),"-",(MIN(S12:S42))))</f>
        <v>-</v>
      </c>
      <c r="U46" s="229">
        <f>(IF((SUM(U12:U42))=0," ",(MIN(U12:U42))))</f>
        <v>6.8</v>
      </c>
      <c r="V46" s="191">
        <f>(IF((SUM(V12:V42))=0," ",(MIN(V12:V42))))</f>
        <v>5.73</v>
      </c>
      <c r="W46" s="211">
        <f>(IF((SUM(W12:W42))=0," ",(MIN(W12:W42))))</f>
        <v>6.44</v>
      </c>
      <c r="Y46" s="198">
        <f aca="true" t="shared" si="11" ref="Y46:AD46">(IF((SUM(Y12:Y42))=0," ",(MIN(Y12:Y42))))</f>
        <v>13.8</v>
      </c>
      <c r="Z46" s="188">
        <f t="shared" si="11"/>
        <v>13.4</v>
      </c>
      <c r="AA46" s="195">
        <f t="shared" si="11"/>
        <v>12.9</v>
      </c>
      <c r="AB46" s="265" t="str">
        <f t="shared" si="11"/>
        <v> </v>
      </c>
      <c r="AC46" s="229">
        <f t="shared" si="11"/>
        <v>2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270</v>
      </c>
      <c r="AJ46" s="188">
        <f t="shared" si="12"/>
        <v>4496.8446</v>
      </c>
      <c r="AK46" s="198">
        <f t="shared" si="12"/>
        <v>170</v>
      </c>
      <c r="AL46" s="195">
        <f t="shared" si="12"/>
        <v>3032.6741999999995</v>
      </c>
      <c r="AM46" s="198">
        <f t="shared" si="12"/>
        <v>14</v>
      </c>
      <c r="AN46" s="195">
        <f t="shared" si="12"/>
        <v>247.88148</v>
      </c>
      <c r="AO46" s="230">
        <f t="shared" si="12"/>
        <v>8</v>
      </c>
      <c r="AQ46" s="198">
        <f aca="true" t="shared" si="13" ref="AQ46:AV46">(IF((SUM(AQ12:AQ42))=0," ",(MIN(AQ12:AQ42))))</f>
        <v>190</v>
      </c>
      <c r="AR46" s="195">
        <f t="shared" si="13"/>
        <v>3389.4593999999997</v>
      </c>
      <c r="AS46" s="198">
        <f t="shared" si="13"/>
        <v>57</v>
      </c>
      <c r="AT46" s="195">
        <f t="shared" si="13"/>
        <v>1016.8378199999999</v>
      </c>
      <c r="AU46" s="198">
        <f t="shared" si="13"/>
        <v>19</v>
      </c>
      <c r="AV46" s="195">
        <f t="shared" si="13"/>
        <v>336.41058000000004</v>
      </c>
      <c r="AX46" s="207" t="s">
        <v>150</v>
      </c>
      <c r="AY46" s="191">
        <f>(IF((SUM(AY12:AY42))=0," ",(MIN(AY12:AY42))))</f>
        <v>3</v>
      </c>
      <c r="AZ46" s="206" t="s">
        <v>150</v>
      </c>
      <c r="BA46" s="207" t="s">
        <v>150</v>
      </c>
      <c r="BB46" s="211">
        <f>(IF((SUM(BB12:BB42))=0," ",(MIN(BB12:BB42))))</f>
        <v>27</v>
      </c>
      <c r="BC46" s="207" t="s">
        <v>150</v>
      </c>
      <c r="BD46" s="208" t="s">
        <v>150</v>
      </c>
      <c r="BE46" s="201" t="str">
        <f>(IF((SUM(BE12:BE42))=0," ",(MIN(BE12:BE42))))</f>
        <v> </v>
      </c>
      <c r="BG46" s="207" t="s">
        <v>150</v>
      </c>
      <c r="BH46" s="213" t="s">
        <v>150</v>
      </c>
      <c r="BI46" s="214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2.1957000000000004</v>
      </c>
      <c r="E47" s="215">
        <f>(IF((SUM(E12:E42))=0," ",(AVERAGE(E12:E42))))</f>
        <v>3.9966666666666666</v>
      </c>
      <c r="F47" s="216">
        <f>(IF((SUM(F12:F42))=0," ",(AVERAGE(F12:F42))))</f>
        <v>0.5000000000000001</v>
      </c>
      <c r="G47" s="215" t="str">
        <f>(IF((SUM(G12:G42))=0,"0.000",(AVERAGE(G12:G42))))</f>
        <v>0.000</v>
      </c>
      <c r="H47" s="161">
        <f>(IF((SUM(H12:H42))=0," ",(AVERAGE(H12:H42))))</f>
        <v>1475</v>
      </c>
      <c r="I47" s="162">
        <f>(IF((SUM(I12:I42))=0," ",(AVERAGE(I12:I42))))</f>
        <v>4558.333333333333</v>
      </c>
      <c r="K47" s="179" t="s">
        <v>150</v>
      </c>
      <c r="L47" s="182">
        <f>(IF((SUM(L12:L42))=0," ",(AVERAGE(L12:L42))))</f>
        <v>39.5</v>
      </c>
      <c r="M47" s="218">
        <f>(IF((SUM(M12:M42))=0," ",(AVERAGE(M12:M42))))</f>
        <v>0.10066666666666667</v>
      </c>
      <c r="O47" s="219" t="s">
        <v>150</v>
      </c>
      <c r="Q47" s="217" t="str">
        <f>(IF((SUM(Q12:Q42))=0," ",(AVERAGE(Q12:Q42))))</f>
        <v> </v>
      </c>
      <c r="R47" s="232" t="s">
        <v>150</v>
      </c>
      <c r="S47" s="233" t="s">
        <v>150</v>
      </c>
      <c r="U47" s="221">
        <f>(IF((SUM(U12:U42))=0," ",(AVERAGE(U12:U42))))</f>
        <v>7.247</v>
      </c>
      <c r="V47" s="182">
        <f>(IF((SUM(V12:V42))=0," ",(AVERAGE(V12:V42))))</f>
        <v>7.023666666666668</v>
      </c>
      <c r="W47" s="222">
        <f>(IF((SUM(W12:W42))=0," ",(AVERAGE(W12:W42))))</f>
        <v>6.921</v>
      </c>
      <c r="Y47" s="217">
        <f>(IF((SUM(Y12:Y42))=0," ",(AVERAGE(Y12:Y42))))</f>
        <v>15.09666666666667</v>
      </c>
      <c r="Z47" s="161">
        <f>(IF((SUM(Z12:Z42))=0," ",(AVERAGE(Z12:Z42))))</f>
        <v>14.646666666666667</v>
      </c>
      <c r="AA47" s="162">
        <f>(IF((SUM(AA12:AA42))=0," ",(AVERAGE(AA12:AA42))))</f>
        <v>14.656666666666665</v>
      </c>
      <c r="AC47" s="221">
        <f>(IF((SUM(AC12:AC42))=0," ",(AVERAGE(AC12:AC42))))</f>
        <v>8.6</v>
      </c>
      <c r="AD47" s="183">
        <f>(IF((SUM(AD12:AD42))=0," ",(AVERAGE(AD12:AD42))))</f>
        <v>0.12866666666666657</v>
      </c>
      <c r="AE47" s="218">
        <f>(IF((COUNT(AE12:AE42))=0," ",(AVERAGE(AE12:AE42))))</f>
        <v>0.0016666666666666668</v>
      </c>
      <c r="AG47" s="26" t="str">
        <f>($A47)</f>
        <v>Average</v>
      </c>
      <c r="AI47" s="161">
        <f aca="true" t="shared" si="14" ref="AI47:AO47">(IF((SUM(AI12:AI42))=0," ",(AVERAGE(AI12:AI42))))</f>
        <v>333.0833333333333</v>
      </c>
      <c r="AJ47" s="161">
        <f t="shared" si="14"/>
        <v>6015.567635</v>
      </c>
      <c r="AK47" s="217">
        <f t="shared" si="14"/>
        <v>186.75</v>
      </c>
      <c r="AL47" s="162">
        <f t="shared" si="14"/>
        <v>3474.5565899999997</v>
      </c>
      <c r="AM47" s="217">
        <f t="shared" si="14"/>
        <v>17.583333333333332</v>
      </c>
      <c r="AN47" s="162">
        <f t="shared" si="14"/>
        <v>318.00698000000006</v>
      </c>
      <c r="AO47" s="223">
        <f t="shared" si="14"/>
        <v>9.909090909090908</v>
      </c>
      <c r="AQ47" s="217">
        <f aca="true" t="shared" si="15" ref="AQ47:AV47">(IF((SUM(AQ12:AQ42))=0," ",(AVERAGE(AQ12:AQ42))))</f>
        <v>291.5</v>
      </c>
      <c r="AR47" s="162">
        <f t="shared" si="15"/>
        <v>5258.08644</v>
      </c>
      <c r="AS47" s="217">
        <f t="shared" si="15"/>
        <v>86</v>
      </c>
      <c r="AT47" s="162">
        <f t="shared" si="15"/>
        <v>1612.7808599999998</v>
      </c>
      <c r="AU47" s="217">
        <f t="shared" si="15"/>
        <v>24.083333333333332</v>
      </c>
      <c r="AV47" s="162">
        <f t="shared" si="15"/>
        <v>435.40638000000007</v>
      </c>
      <c r="AX47" s="217">
        <f aca="true" t="shared" si="16" ref="AX47:BE47">(IF((SUM(AX12:AX42))=0," ",(AVERAGE(AX12:AX42))))</f>
        <v>45849.333333333336</v>
      </c>
      <c r="AY47" s="182">
        <f t="shared" si="16"/>
        <v>3.4444444444444446</v>
      </c>
      <c r="AZ47" s="222">
        <f t="shared" si="16"/>
        <v>3.138888888888889</v>
      </c>
      <c r="BA47" s="217">
        <f t="shared" si="16"/>
        <v>31.34444444444445</v>
      </c>
      <c r="BB47" s="222">
        <f t="shared" si="16"/>
        <v>27.22222222222222</v>
      </c>
      <c r="BC47" s="217">
        <f t="shared" si="16"/>
        <v>20.88888888888889</v>
      </c>
      <c r="BD47" s="161" t="str">
        <f t="shared" si="16"/>
        <v> </v>
      </c>
      <c r="BE47" s="218" t="str">
        <f t="shared" si="16"/>
        <v> </v>
      </c>
      <c r="BG47" s="217">
        <f>(IF((SUM(BG12:BG42))=0," ",(AVERAGE(BG12:BG42))))</f>
        <v>18.8</v>
      </c>
      <c r="BH47" s="180" t="s">
        <v>150</v>
      </c>
      <c r="BI47" s="181" t="s">
        <v>150</v>
      </c>
      <c r="BK47" s="20"/>
      <c r="BL47" s="20"/>
      <c r="BM47" s="20"/>
      <c r="BN47" s="20"/>
      <c r="BO47" s="20"/>
      <c r="BP47" s="20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20"/>
      <c r="BL48" s="20"/>
      <c r="BM48" s="20"/>
      <c r="BN48" s="20"/>
      <c r="BO48" s="26"/>
      <c r="BP48" s="20"/>
      <c r="BQ48" s="298"/>
      <c r="BR48" s="299"/>
      <c r="BS48" s="298"/>
      <c r="BT48" s="26"/>
      <c r="BU48" s="299"/>
      <c r="BV48" s="58"/>
      <c r="BW48" s="58"/>
      <c r="BX48" s="299"/>
      <c r="BY48" s="26"/>
      <c r="BZ48" s="26"/>
      <c r="CA48" s="75"/>
      <c r="CB48" s="26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 t="str">
        <f>(IF(((SUM(S12:S42))=0),"-",(GEOMEAN(S12:S42))))</f>
        <v>-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94.71359979148501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91.73813607775872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40"/>
      <c r="BL49" s="240"/>
      <c r="BM49" s="104"/>
      <c r="BN49" s="240"/>
      <c r="BO49" s="104"/>
      <c r="BP49" s="240"/>
      <c r="BQ49" s="300"/>
      <c r="BR49" s="301"/>
      <c r="BS49" s="300"/>
      <c r="BT49" s="104"/>
      <c r="BU49" s="301"/>
      <c r="BV49" s="143"/>
      <c r="BW49" s="143"/>
      <c r="BX49" s="146"/>
      <c r="BY49" s="104"/>
      <c r="BZ49" s="301"/>
      <c r="CA49" s="148"/>
      <c r="CB49" s="104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40"/>
      <c r="BL52" s="240"/>
      <c r="BM52" s="240"/>
      <c r="BN52" s="240"/>
      <c r="BO52" s="240"/>
      <c r="BP52" s="240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11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40"/>
      <c r="BL53" s="240"/>
      <c r="BM53" s="240"/>
      <c r="BN53" s="240"/>
      <c r="BO53" s="104"/>
      <c r="BP53" s="240"/>
      <c r="BQ53" s="300"/>
      <c r="BR53" s="301"/>
      <c r="BS53" s="300"/>
      <c r="BT53" s="104"/>
      <c r="BU53" s="301"/>
      <c r="BV53" s="301"/>
      <c r="BW53" s="146"/>
      <c r="BX53" s="301"/>
      <c r="BY53" s="104"/>
      <c r="BZ53" s="104"/>
      <c r="CA53" s="148"/>
      <c r="CB53" s="104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11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40"/>
      <c r="BL54" s="240"/>
      <c r="BM54" s="104"/>
      <c r="BN54" s="240"/>
      <c r="BO54" s="104"/>
      <c r="BP54" s="240"/>
      <c r="BQ54" s="300"/>
      <c r="BR54" s="301"/>
      <c r="BS54" s="300"/>
      <c r="BT54" s="104"/>
      <c r="BU54" s="301"/>
      <c r="BV54" s="301"/>
      <c r="BW54" s="146"/>
      <c r="BX54" s="146"/>
      <c r="BY54" s="104"/>
      <c r="BZ54" s="301"/>
      <c r="CA54" s="144"/>
      <c r="CB54" s="104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11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11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11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11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11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11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60" r:id="rId1"/>
  <colBreaks count="2" manualBreakCount="2">
    <brk id="32" max="50" man="1"/>
    <brk id="62" max="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201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December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December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0">
        <v>3230753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4">
        <v>3233472</v>
      </c>
      <c r="D12" s="137">
        <f aca="true" t="shared" si="0" ref="D12:D42">(IF(C12=0," ",((C12-C11)/1000)))</f>
        <v>2.719</v>
      </c>
      <c r="E12" s="139">
        <v>5.8</v>
      </c>
      <c r="F12" s="140">
        <v>0.9</v>
      </c>
      <c r="G12" s="81" t="str">
        <f aca="true" t="shared" si="1" ref="G12:G42">(IF(C12=0," ","0.00"))</f>
        <v>0.00</v>
      </c>
      <c r="H12" s="84">
        <v>3000</v>
      </c>
      <c r="I12" s="85">
        <v>9250</v>
      </c>
      <c r="J12" s="11"/>
      <c r="K12" s="86" t="s">
        <v>213</v>
      </c>
      <c r="L12" s="84">
        <v>41</v>
      </c>
      <c r="M12" s="87">
        <v>0.01</v>
      </c>
      <c r="N12" s="11"/>
      <c r="O12" s="88"/>
      <c r="P12" s="11"/>
      <c r="Q12" s="89"/>
      <c r="R12" s="90"/>
      <c r="S12" s="91"/>
      <c r="T12" s="11"/>
      <c r="U12" s="92">
        <v>7.14</v>
      </c>
      <c r="V12" s="93">
        <v>7.07</v>
      </c>
      <c r="W12" s="94">
        <v>6.91</v>
      </c>
      <c r="X12" s="11"/>
      <c r="Y12" s="89">
        <v>14.3</v>
      </c>
      <c r="Z12" s="95">
        <v>14.3</v>
      </c>
      <c r="AA12" s="91">
        <v>14.5</v>
      </c>
      <c r="AB12" s="11"/>
      <c r="AC12" s="92">
        <v>8.5</v>
      </c>
      <c r="AD12" s="90">
        <v>0.01</v>
      </c>
      <c r="AE12" s="96">
        <v>0</v>
      </c>
      <c r="AF12" s="11"/>
      <c r="AG12" s="45">
        <f aca="true" t="shared" si="2" ref="AG12:AG42">($A12)</f>
        <v>1</v>
      </c>
      <c r="AH12" s="282"/>
      <c r="AI12" s="97">
        <v>267</v>
      </c>
      <c r="AJ12" s="55">
        <f aca="true" t="shared" si="3" ref="AJ12:AJ42">IF(AI12=0,"",(D12*AI12*8.34))</f>
        <v>6054.61482</v>
      </c>
      <c r="AK12" s="97"/>
      <c r="AL12" s="55">
        <f aca="true" t="shared" si="4" ref="AL12:AL42">IF(AK12=0,"",(D12*AK12*8.34))</f>
      </c>
      <c r="AM12" s="97">
        <v>17</v>
      </c>
      <c r="AN12" s="55">
        <f aca="true" t="shared" si="5" ref="AN12:AN42">IF(AM12=0,"",(D12*AM12*8.34))</f>
        <v>385.49982</v>
      </c>
      <c r="AO12" s="98">
        <v>10</v>
      </c>
      <c r="AP12" s="11"/>
      <c r="AQ12" s="99">
        <v>224</v>
      </c>
      <c r="AR12" s="55">
        <f aca="true" t="shared" si="6" ref="AR12:AR42">IF(AQ12=0,"",(D12*AQ12*8.34))</f>
        <v>5079.527039999999</v>
      </c>
      <c r="AS12" s="97"/>
      <c r="AT12" s="55">
        <f aca="true" t="shared" si="7" ref="AT12:AT42">IF(AS12=0,"",(D12*AS12*8.34))</f>
      </c>
      <c r="AU12" s="97">
        <v>24</v>
      </c>
      <c r="AV12" s="55">
        <f aca="true" t="shared" si="8" ref="AV12:AV42">IF(AU12=0,"",(D12*AU12*8.34))</f>
        <v>544.23504</v>
      </c>
      <c r="AW12" s="11"/>
      <c r="AX12" s="99"/>
      <c r="AY12" s="100"/>
      <c r="AZ12" s="101"/>
      <c r="BA12" s="97"/>
      <c r="BB12" s="101"/>
      <c r="BC12" s="97"/>
      <c r="BD12" s="97"/>
      <c r="BE12" s="102"/>
      <c r="BF12" s="11"/>
      <c r="BG12" s="99"/>
      <c r="BH12" s="83"/>
      <c r="BI12" s="103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5">
        <f>(IF(((SUM(AN12:AN42))=0)," ",(AVERAGE(AN12:AN42))))</f>
        <v>356.91141200000004</v>
      </c>
      <c r="BR12" s="185">
        <f>MAX(AN12:AN42)</f>
        <v>539.75646</v>
      </c>
      <c r="BS12" s="26" t="s">
        <v>126</v>
      </c>
      <c r="BT12" s="26"/>
      <c r="BU12" s="185">
        <f>(IF(((SUM(AM12:AM42))=0)," ",(AVERAGE(AM12:AM42))))</f>
        <v>16.466666666666665</v>
      </c>
      <c r="BV12" s="58">
        <f>(CG23)</f>
        <v>18</v>
      </c>
      <c r="BW12" s="185">
        <f>MAX(AM12:AM42)</f>
        <v>27</v>
      </c>
      <c r="BX12" s="26" t="s">
        <v>128</v>
      </c>
      <c r="BY12" s="26"/>
      <c r="BZ12" s="26">
        <v>0</v>
      </c>
      <c r="CA12" s="266" t="s">
        <v>47</v>
      </c>
      <c r="CB12" s="26">
        <v>24</v>
      </c>
      <c r="CC12" s="136"/>
      <c r="CE12" s="24"/>
      <c r="CF12" s="20" t="s">
        <v>138</v>
      </c>
      <c r="CG12" s="105">
        <f>(IF(((SUM(AM12:AM14))=0)," ",(AVERAGE(AM12:AM14))))</f>
        <v>15.666666666666666</v>
      </c>
      <c r="CH12" s="105">
        <f>(IF(((SUM(AN12:AN14))=0)," ",(AVERAGE(AN12:AN14))))</f>
        <v>390.65672</v>
      </c>
      <c r="CI12" s="279"/>
      <c r="CJ12" s="105">
        <f>(IF(((SUM(AU12:AU14))=0)," ",(AVERAGE(AU12:AU14))))</f>
        <v>20.333333333333332</v>
      </c>
      <c r="CK12" s="105">
        <f>(IF(((SUM(AV12:AV14))=0)," ",(AVERAGE(AV12:AV14))))</f>
        <v>504.7646</v>
      </c>
      <c r="CL12" s="53"/>
      <c r="CM12" s="151">
        <v>0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4">
        <v>3236738</v>
      </c>
      <c r="D13" s="137">
        <f t="shared" si="0"/>
        <v>3.266</v>
      </c>
      <c r="E13" s="139">
        <v>5</v>
      </c>
      <c r="F13" s="140">
        <v>0.8</v>
      </c>
      <c r="G13" s="81" t="str">
        <f t="shared" si="1"/>
        <v>0.00</v>
      </c>
      <c r="H13" s="84">
        <v>0</v>
      </c>
      <c r="I13" s="85">
        <v>8000</v>
      </c>
      <c r="J13" s="11"/>
      <c r="K13" s="86" t="s">
        <v>209</v>
      </c>
      <c r="L13" s="84">
        <v>37</v>
      </c>
      <c r="M13" s="87">
        <v>0.01</v>
      </c>
      <c r="N13" s="11"/>
      <c r="O13" s="106"/>
      <c r="P13" s="11"/>
      <c r="Q13" s="107"/>
      <c r="R13" s="152"/>
      <c r="S13" s="108"/>
      <c r="T13" s="11"/>
      <c r="U13" s="92">
        <v>6.98</v>
      </c>
      <c r="V13" s="93">
        <v>6.92</v>
      </c>
      <c r="W13" s="94">
        <v>6.64</v>
      </c>
      <c r="X13" s="11"/>
      <c r="Y13" s="89">
        <v>13.8</v>
      </c>
      <c r="Z13" s="95">
        <v>13.1</v>
      </c>
      <c r="AA13" s="91">
        <v>13.3</v>
      </c>
      <c r="AB13" s="11"/>
      <c r="AC13" s="92">
        <v>5</v>
      </c>
      <c r="AD13" s="90">
        <v>0</v>
      </c>
      <c r="AE13" s="96">
        <v>0</v>
      </c>
      <c r="AF13" s="11"/>
      <c r="AG13" s="45">
        <f t="shared" si="2"/>
        <v>2</v>
      </c>
      <c r="AH13" s="282"/>
      <c r="AI13" s="97">
        <v>228</v>
      </c>
      <c r="AJ13" s="55">
        <f t="shared" si="3"/>
        <v>6210.36432</v>
      </c>
      <c r="AK13" s="97"/>
      <c r="AL13" s="55">
        <f t="shared" si="4"/>
      </c>
      <c r="AM13" s="97">
        <v>17</v>
      </c>
      <c r="AN13" s="55">
        <f t="shared" si="5"/>
        <v>463.05348</v>
      </c>
      <c r="AO13" s="109">
        <v>11</v>
      </c>
      <c r="AP13" s="11"/>
      <c r="AQ13" s="99">
        <v>226</v>
      </c>
      <c r="AR13" s="55">
        <f t="shared" si="6"/>
        <v>6155.8874399999995</v>
      </c>
      <c r="AS13" s="97"/>
      <c r="AT13" s="55">
        <f t="shared" si="7"/>
      </c>
      <c r="AU13" s="97">
        <v>21</v>
      </c>
      <c r="AV13" s="55">
        <f t="shared" si="8"/>
        <v>572.00724</v>
      </c>
      <c r="AW13" s="11"/>
      <c r="AX13" s="99">
        <v>72494</v>
      </c>
      <c r="AY13" s="100">
        <v>4</v>
      </c>
      <c r="AZ13" s="101">
        <v>4.75</v>
      </c>
      <c r="BA13" s="97">
        <v>46.5</v>
      </c>
      <c r="BB13" s="101">
        <v>32</v>
      </c>
      <c r="BC13" s="97">
        <v>36</v>
      </c>
      <c r="BD13" s="97">
        <v>2137.5</v>
      </c>
      <c r="BE13" s="102">
        <v>12.35</v>
      </c>
      <c r="BF13" s="11"/>
      <c r="BG13" s="99">
        <v>36</v>
      </c>
      <c r="BH13" s="83" t="s">
        <v>223</v>
      </c>
      <c r="BI13" s="103" t="s">
        <v>226</v>
      </c>
      <c r="BJ13" s="11"/>
      <c r="BK13" s="17"/>
      <c r="BL13" s="19"/>
      <c r="BM13" s="26" t="s">
        <v>86</v>
      </c>
      <c r="BN13" s="20"/>
      <c r="BO13" s="153" t="s">
        <v>131</v>
      </c>
      <c r="BP13" s="26"/>
      <c r="BQ13" s="267">
        <v>963</v>
      </c>
      <c r="BR13" s="267">
        <v>1605</v>
      </c>
      <c r="BS13" s="154" t="s">
        <v>126</v>
      </c>
      <c r="BT13" s="26"/>
      <c r="BU13" s="267">
        <v>30</v>
      </c>
      <c r="BV13" s="268">
        <v>45</v>
      </c>
      <c r="BW13" s="267">
        <v>50</v>
      </c>
      <c r="BX13" s="154" t="s">
        <v>128</v>
      </c>
      <c r="BY13" s="26"/>
      <c r="BZ13" s="269" t="s">
        <v>150</v>
      </c>
      <c r="CA13" s="270" t="s">
        <v>47</v>
      </c>
      <c r="CB13" s="154">
        <v>24</v>
      </c>
      <c r="CC13" s="136"/>
      <c r="CE13" s="24"/>
      <c r="CF13" s="20"/>
      <c r="CG13" s="279"/>
      <c r="CH13" s="279"/>
      <c r="CI13" s="279"/>
      <c r="CJ13" s="279"/>
      <c r="CK13" s="279"/>
      <c r="CL13" s="53"/>
      <c r="CM13" s="280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4">
        <v>3239721</v>
      </c>
      <c r="D14" s="137">
        <f t="shared" si="0"/>
        <v>2.983</v>
      </c>
      <c r="E14" s="139">
        <v>4.8</v>
      </c>
      <c r="F14" s="140">
        <v>0.8</v>
      </c>
      <c r="G14" s="81" t="str">
        <f t="shared" si="1"/>
        <v>0.00</v>
      </c>
      <c r="H14" s="84">
        <v>150</v>
      </c>
      <c r="I14" s="85">
        <v>7750</v>
      </c>
      <c r="K14" s="86" t="s">
        <v>230</v>
      </c>
      <c r="L14" s="84">
        <v>29</v>
      </c>
      <c r="M14" s="87">
        <v>0</v>
      </c>
      <c r="O14" s="106"/>
      <c r="Q14" s="107" t="s">
        <v>10</v>
      </c>
      <c r="R14" s="152" t="s">
        <v>10</v>
      </c>
      <c r="S14" s="108" t="s">
        <v>10</v>
      </c>
      <c r="U14" s="92">
        <v>7.18</v>
      </c>
      <c r="V14" s="93">
        <v>7.03</v>
      </c>
      <c r="W14" s="94">
        <v>7.16</v>
      </c>
      <c r="Y14" s="89">
        <v>13.9</v>
      </c>
      <c r="Z14" s="95">
        <v>13</v>
      </c>
      <c r="AA14" s="91">
        <v>13.1</v>
      </c>
      <c r="AC14" s="92">
        <v>7.5</v>
      </c>
      <c r="AD14" s="90">
        <v>0.01</v>
      </c>
      <c r="AE14" s="96">
        <v>0</v>
      </c>
      <c r="AG14" s="45">
        <f t="shared" si="2"/>
        <v>3</v>
      </c>
      <c r="AH14" s="281"/>
      <c r="AI14" s="97">
        <v>230</v>
      </c>
      <c r="AJ14" s="55">
        <f t="shared" si="3"/>
        <v>5721.9906</v>
      </c>
      <c r="AK14" s="97">
        <v>160</v>
      </c>
      <c r="AL14" s="55">
        <f t="shared" si="4"/>
        <v>3980.5152000000003</v>
      </c>
      <c r="AM14" s="97">
        <v>13</v>
      </c>
      <c r="AN14" s="55">
        <f t="shared" si="5"/>
        <v>323.41686000000004</v>
      </c>
      <c r="AO14" s="109">
        <v>9</v>
      </c>
      <c r="AQ14" s="99">
        <v>182</v>
      </c>
      <c r="AR14" s="55">
        <f t="shared" si="6"/>
        <v>4527.83604</v>
      </c>
      <c r="AS14" s="97">
        <v>76</v>
      </c>
      <c r="AT14" s="55">
        <f t="shared" si="7"/>
        <v>1890.74472</v>
      </c>
      <c r="AU14" s="97">
        <v>16</v>
      </c>
      <c r="AV14" s="55">
        <f t="shared" si="8"/>
        <v>398.05152</v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(IF(((SUM(AM19:AM21))=0)," ",(AVERAGE(AM19:AM21))))</f>
        <v>17.666666666666668</v>
      </c>
      <c r="CH14" s="105">
        <f>(IF(((SUM(AN19:AN21))=0)," ",(AVERAGE(AN19:AN21))))</f>
        <v>379.43664000000007</v>
      </c>
      <c r="CI14" s="279"/>
      <c r="CJ14" s="105">
        <f>(IF(((SUM(AU19:AU21))=0)," ",(AVERAGE(AU19:AU21))))</f>
        <v>23.333333333333332</v>
      </c>
      <c r="CK14" s="105">
        <f>(IF(((SUM(AV19:AV21))=0)," ",(AVERAGE(AV19:AV21))))</f>
        <v>501.16172</v>
      </c>
      <c r="CL14" s="53"/>
      <c r="CM14" s="151">
        <f>(AVERAGE(AE16:AE22))</f>
        <v>0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4">
        <v>3242530</v>
      </c>
      <c r="D15" s="137">
        <f t="shared" si="0"/>
        <v>2.809</v>
      </c>
      <c r="E15" s="139">
        <v>5</v>
      </c>
      <c r="F15" s="140">
        <v>0.7</v>
      </c>
      <c r="G15" s="81" t="str">
        <f t="shared" si="1"/>
        <v>0.00</v>
      </c>
      <c r="H15" s="84">
        <v>500</v>
      </c>
      <c r="I15" s="85">
        <v>1000</v>
      </c>
      <c r="K15" s="86" t="s">
        <v>208</v>
      </c>
      <c r="L15" s="84">
        <v>29</v>
      </c>
      <c r="M15" s="87">
        <v>0.77</v>
      </c>
      <c r="O15" s="106"/>
      <c r="Q15" s="107"/>
      <c r="R15" s="152"/>
      <c r="S15" s="108"/>
      <c r="U15" s="92">
        <v>6.94</v>
      </c>
      <c r="V15" s="93">
        <v>6.99</v>
      </c>
      <c r="W15" s="94">
        <v>6.93</v>
      </c>
      <c r="Y15" s="89">
        <v>13.4</v>
      </c>
      <c r="Z15" s="95">
        <v>12.5</v>
      </c>
      <c r="AA15" s="91">
        <v>12.5</v>
      </c>
      <c r="AC15" s="92">
        <v>4</v>
      </c>
      <c r="AD15" s="90">
        <v>0</v>
      </c>
      <c r="AE15" s="96">
        <v>0</v>
      </c>
      <c r="AG15" s="45">
        <f t="shared" si="2"/>
        <v>4</v>
      </c>
      <c r="AH15" s="281"/>
      <c r="AI15" s="97"/>
      <c r="AJ15" s="55">
        <f t="shared" si="3"/>
      </c>
      <c r="AK15" s="97"/>
      <c r="AL15" s="55">
        <f t="shared" si="4"/>
      </c>
      <c r="AM15" s="97"/>
      <c r="AN15" s="55">
        <f t="shared" si="5"/>
      </c>
      <c r="AO15" s="109"/>
      <c r="AQ15" s="99"/>
      <c r="AR15" s="55">
        <f t="shared" si="6"/>
      </c>
      <c r="AS15" s="97"/>
      <c r="AT15" s="55">
        <f t="shared" si="7"/>
      </c>
      <c r="AU15" s="97"/>
      <c r="AV15" s="55">
        <f t="shared" si="8"/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279"/>
      <c r="CH15" s="279"/>
      <c r="CI15" s="279"/>
      <c r="CJ15" s="279"/>
      <c r="CK15" s="279"/>
      <c r="CL15" s="53"/>
      <c r="CM15" s="280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2">
        <v>3245191</v>
      </c>
      <c r="D16" s="138">
        <f t="shared" si="0"/>
        <v>2.661</v>
      </c>
      <c r="E16" s="141">
        <v>5.2</v>
      </c>
      <c r="F16" s="142">
        <v>0.7</v>
      </c>
      <c r="G16" s="183" t="str">
        <f t="shared" si="1"/>
        <v>0.00</v>
      </c>
      <c r="H16" s="112">
        <v>0</v>
      </c>
      <c r="I16" s="113">
        <v>0</v>
      </c>
      <c r="K16" s="114" t="s">
        <v>208</v>
      </c>
      <c r="L16" s="112">
        <v>32</v>
      </c>
      <c r="M16" s="115">
        <v>0.28</v>
      </c>
      <c r="O16" s="116"/>
      <c r="Q16" s="107" t="s">
        <v>4</v>
      </c>
      <c r="R16" s="152" t="s">
        <v>4</v>
      </c>
      <c r="S16" s="108" t="s">
        <v>4</v>
      </c>
      <c r="U16" s="117">
        <v>6.96</v>
      </c>
      <c r="V16" s="118">
        <v>6.98</v>
      </c>
      <c r="W16" s="119">
        <v>6.97</v>
      </c>
      <c r="Y16" s="120">
        <v>13.4</v>
      </c>
      <c r="Z16" s="121">
        <v>12.9</v>
      </c>
      <c r="AA16" s="122">
        <v>12.7</v>
      </c>
      <c r="AC16" s="117">
        <v>5</v>
      </c>
      <c r="AD16" s="123">
        <v>0</v>
      </c>
      <c r="AE16" s="124">
        <v>0</v>
      </c>
      <c r="AG16" s="45">
        <f t="shared" si="2"/>
        <v>5</v>
      </c>
      <c r="AH16" s="281"/>
      <c r="AI16" s="125"/>
      <c r="AJ16" s="65">
        <f t="shared" si="3"/>
      </c>
      <c r="AK16" s="125"/>
      <c r="AL16" s="65">
        <f t="shared" si="4"/>
      </c>
      <c r="AM16" s="125"/>
      <c r="AN16" s="65">
        <f t="shared" si="5"/>
      </c>
      <c r="AO16" s="126"/>
      <c r="AQ16" s="127"/>
      <c r="AR16" s="65">
        <f t="shared" si="6"/>
      </c>
      <c r="AS16" s="125"/>
      <c r="AT16" s="65">
        <f t="shared" si="7"/>
      </c>
      <c r="AU16" s="125"/>
      <c r="AV16" s="65">
        <f t="shared" si="8"/>
      </c>
      <c r="AX16" s="127"/>
      <c r="AY16" s="128"/>
      <c r="AZ16" s="129"/>
      <c r="BA16" s="125"/>
      <c r="BB16" s="129"/>
      <c r="BC16" s="125"/>
      <c r="BD16" s="125"/>
      <c r="BE16" s="130"/>
      <c r="BG16" s="127"/>
      <c r="BH16" s="110"/>
      <c r="BI16" s="131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(IF(((SUM(AM26:AM28))=0)," ",(AVERAGE(AM26:AM28))))</f>
        <v>15</v>
      </c>
      <c r="CH16" s="105">
        <f>(IF(((SUM(AN26:AN28))=0)," ",(AVERAGE(AN26:AN28))))</f>
        <v>337.01939999999996</v>
      </c>
      <c r="CI16" s="279"/>
      <c r="CJ16" s="105">
        <f>(IF(((SUM(AU26:AU28))=0)," ",(AVERAGE(AU26:AU28))))</f>
        <v>19.333333333333332</v>
      </c>
      <c r="CK16" s="105">
        <f>(IF(((SUM(AV26:AV28))=0)," ",(AVERAGE(AV26:AV28))))</f>
        <v>434.00247999999993</v>
      </c>
      <c r="CL16" s="53"/>
      <c r="CM16" s="151">
        <f>(AVERAGE(AE23:AE29))</f>
        <v>0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4">
        <v>3247831</v>
      </c>
      <c r="D17" s="137">
        <f t="shared" si="0"/>
        <v>2.64</v>
      </c>
      <c r="E17" s="139">
        <v>5.1</v>
      </c>
      <c r="F17" s="140">
        <v>0.6</v>
      </c>
      <c r="G17" s="81" t="str">
        <f t="shared" si="1"/>
        <v>0.00</v>
      </c>
      <c r="H17" s="84">
        <v>4000</v>
      </c>
      <c r="I17" s="85">
        <v>7500</v>
      </c>
      <c r="K17" s="86" t="s">
        <v>208</v>
      </c>
      <c r="L17" s="84">
        <v>21</v>
      </c>
      <c r="M17" s="87">
        <v>0</v>
      </c>
      <c r="O17" s="106"/>
      <c r="Q17" s="107"/>
      <c r="R17" s="152"/>
      <c r="S17" s="108"/>
      <c r="U17" s="92">
        <v>7.01</v>
      </c>
      <c r="V17" s="93">
        <v>7.02</v>
      </c>
      <c r="W17" s="94">
        <v>7.13</v>
      </c>
      <c r="Y17" s="89">
        <v>13.5</v>
      </c>
      <c r="Z17" s="95">
        <v>12.9</v>
      </c>
      <c r="AA17" s="91">
        <v>12.8</v>
      </c>
      <c r="AC17" s="92">
        <v>6.5</v>
      </c>
      <c r="AD17" s="90">
        <v>0.01</v>
      </c>
      <c r="AE17" s="96">
        <v>0</v>
      </c>
      <c r="AG17" s="45">
        <f t="shared" si="2"/>
        <v>6</v>
      </c>
      <c r="AH17" s="281"/>
      <c r="AI17" s="97"/>
      <c r="AJ17" s="55">
        <f t="shared" si="3"/>
      </c>
      <c r="AK17" s="97"/>
      <c r="AL17" s="55">
        <f t="shared" si="4"/>
      </c>
      <c r="AM17" s="97"/>
      <c r="AN17" s="55">
        <f t="shared" si="5"/>
      </c>
      <c r="AO17" s="109"/>
      <c r="AQ17" s="99"/>
      <c r="AR17" s="55">
        <f t="shared" si="6"/>
      </c>
      <c r="AS17" s="97"/>
      <c r="AT17" s="55">
        <f t="shared" si="7"/>
      </c>
      <c r="AU17" s="97"/>
      <c r="AV17" s="55">
        <f t="shared" si="8"/>
      </c>
      <c r="AX17" s="99">
        <v>52533</v>
      </c>
      <c r="AY17" s="100">
        <v>4</v>
      </c>
      <c r="AZ17" s="101">
        <v>3.25</v>
      </c>
      <c r="BA17" s="97">
        <v>34.1</v>
      </c>
      <c r="BB17" s="101">
        <v>31</v>
      </c>
      <c r="BC17" s="97">
        <v>24</v>
      </c>
      <c r="BD17" s="97">
        <v>1560</v>
      </c>
      <c r="BE17" s="102">
        <v>12.4</v>
      </c>
      <c r="BG17" s="99">
        <v>24</v>
      </c>
      <c r="BH17" s="83" t="s">
        <v>223</v>
      </c>
      <c r="BI17" s="103" t="s">
        <v>226</v>
      </c>
      <c r="BK17" s="17"/>
      <c r="BL17" s="19"/>
      <c r="BM17" s="56" t="s">
        <v>111</v>
      </c>
      <c r="BN17" s="20"/>
      <c r="BO17" s="57" t="s">
        <v>130</v>
      </c>
      <c r="BP17" s="26"/>
      <c r="BQ17" s="271" t="s">
        <v>150</v>
      </c>
      <c r="BR17" s="271" t="s">
        <v>150</v>
      </c>
      <c r="BS17" s="271" t="s">
        <v>150</v>
      </c>
      <c r="BT17" s="26"/>
      <c r="BU17" s="68">
        <f>MIN(W12:W42)</f>
        <v>6.1</v>
      </c>
      <c r="BV17" s="271" t="s">
        <v>150</v>
      </c>
      <c r="BW17" s="68">
        <f>MAX(W12:W42)</f>
        <v>7.16</v>
      </c>
      <c r="BX17" s="26" t="s">
        <v>43</v>
      </c>
      <c r="BY17" s="26"/>
      <c r="BZ17" s="26">
        <v>0</v>
      </c>
      <c r="CA17" s="266" t="s">
        <v>48</v>
      </c>
      <c r="CB17" s="26" t="s">
        <v>23</v>
      </c>
      <c r="CC17" s="136"/>
      <c r="CE17" s="69"/>
      <c r="CF17" s="20"/>
      <c r="CG17" s="279"/>
      <c r="CH17" s="279"/>
      <c r="CI17" s="279"/>
      <c r="CJ17" s="279"/>
      <c r="CK17" s="279"/>
      <c r="CL17" s="20"/>
      <c r="CM17" s="280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4">
        <v>3250449</v>
      </c>
      <c r="D18" s="137">
        <f t="shared" si="0"/>
        <v>2.618</v>
      </c>
      <c r="E18" s="139">
        <v>4.8</v>
      </c>
      <c r="F18" s="140">
        <v>0.8</v>
      </c>
      <c r="G18" s="81" t="str">
        <f t="shared" si="1"/>
        <v>0.00</v>
      </c>
      <c r="H18" s="84">
        <v>1500</v>
      </c>
      <c r="I18" s="85">
        <v>2000</v>
      </c>
      <c r="K18" s="86" t="s">
        <v>230</v>
      </c>
      <c r="L18" s="84">
        <v>23</v>
      </c>
      <c r="M18" s="87">
        <v>0</v>
      </c>
      <c r="O18" s="106"/>
      <c r="Q18" s="107" t="s">
        <v>4</v>
      </c>
      <c r="R18" s="152" t="s">
        <v>4</v>
      </c>
      <c r="S18" s="108" t="s">
        <v>4</v>
      </c>
      <c r="U18" s="92">
        <v>7.19</v>
      </c>
      <c r="V18" s="93">
        <v>7.1</v>
      </c>
      <c r="W18" s="94">
        <v>6.95</v>
      </c>
      <c r="Y18" s="89">
        <v>13.7</v>
      </c>
      <c r="Z18" s="95">
        <v>12.9</v>
      </c>
      <c r="AA18" s="91">
        <v>12.5</v>
      </c>
      <c r="AC18" s="92">
        <v>10</v>
      </c>
      <c r="AD18" s="90">
        <v>0.01</v>
      </c>
      <c r="AE18" s="96">
        <v>0</v>
      </c>
      <c r="AG18" s="45">
        <f t="shared" si="2"/>
        <v>7</v>
      </c>
      <c r="AH18" s="281"/>
      <c r="AI18" s="97"/>
      <c r="AJ18" s="55">
        <f t="shared" si="3"/>
      </c>
      <c r="AK18" s="97"/>
      <c r="AL18" s="55">
        <f t="shared" si="4"/>
      </c>
      <c r="AM18" s="97"/>
      <c r="AN18" s="55">
        <f t="shared" si="5"/>
      </c>
      <c r="AO18" s="109"/>
      <c r="AQ18" s="99"/>
      <c r="AR18" s="55">
        <f t="shared" si="6"/>
      </c>
      <c r="AS18" s="97"/>
      <c r="AT18" s="55">
        <f t="shared" si="7"/>
      </c>
      <c r="AU18" s="97"/>
      <c r="AV18" s="55">
        <f t="shared" si="8"/>
      </c>
      <c r="AX18" s="99"/>
      <c r="AY18" s="100"/>
      <c r="AZ18" s="101"/>
      <c r="BA18" s="97"/>
      <c r="BB18" s="101"/>
      <c r="BC18" s="97"/>
      <c r="BD18" s="97"/>
      <c r="BE18" s="102"/>
      <c r="BG18" s="99"/>
      <c r="BH18" s="83"/>
      <c r="BI18" s="103"/>
      <c r="BK18" s="17"/>
      <c r="BL18" s="19"/>
      <c r="BM18" s="26" t="s">
        <v>86</v>
      </c>
      <c r="BN18" s="20"/>
      <c r="BO18" s="153" t="s">
        <v>131</v>
      </c>
      <c r="BP18" s="26"/>
      <c r="BQ18" s="269" t="s">
        <v>150</v>
      </c>
      <c r="BR18" s="269" t="s">
        <v>150</v>
      </c>
      <c r="BS18" s="269" t="s">
        <v>150</v>
      </c>
      <c r="BT18" s="26"/>
      <c r="BU18" s="272">
        <v>6</v>
      </c>
      <c r="BV18" s="269" t="s">
        <v>150</v>
      </c>
      <c r="BW18" s="154">
        <v>8.5</v>
      </c>
      <c r="BX18" s="154" t="s">
        <v>43</v>
      </c>
      <c r="BY18" s="26"/>
      <c r="BZ18" s="269" t="s">
        <v>150</v>
      </c>
      <c r="CA18" s="270" t="s">
        <v>48</v>
      </c>
      <c r="CB18" s="154" t="s">
        <v>23</v>
      </c>
      <c r="CC18" s="136"/>
      <c r="CE18" s="69"/>
      <c r="CF18" s="20" t="s">
        <v>141</v>
      </c>
      <c r="CG18" s="105">
        <f>(IF(((SUM(AM32:AM34))=0)," ",(AVERAGE(AM32:AM34))))</f>
        <v>16</v>
      </c>
      <c r="CH18" s="105">
        <f>(IF(((SUM(AN32:AN34))=0)," ",(AVERAGE(AN32:AN34))))</f>
        <v>316.58361999999994</v>
      </c>
      <c r="CI18" s="279"/>
      <c r="CJ18" s="105">
        <f>(IF(((SUM(AU32:AU34))=0)," ",(AVERAGE(AU32:AU34))))</f>
        <v>18.666666666666668</v>
      </c>
      <c r="CK18" s="105">
        <f>(IF(((SUM(AV32:AV34))=0)," ",(AVERAGE(AV32:AV34))))</f>
        <v>368.91434</v>
      </c>
      <c r="CL18" s="20"/>
      <c r="CM18" s="151">
        <f>(AVERAGE(AE30:AE36))</f>
        <v>0.0014285714285714286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4">
        <v>3253030</v>
      </c>
      <c r="D19" s="137">
        <f t="shared" si="0"/>
        <v>2.581</v>
      </c>
      <c r="E19" s="139">
        <v>4.8</v>
      </c>
      <c r="F19" s="140">
        <v>0.7</v>
      </c>
      <c r="G19" s="81" t="str">
        <f t="shared" si="1"/>
        <v>0.00</v>
      </c>
      <c r="H19" s="84">
        <v>1000</v>
      </c>
      <c r="I19" s="85">
        <v>3000</v>
      </c>
      <c r="K19" s="86" t="s">
        <v>208</v>
      </c>
      <c r="L19" s="84">
        <v>30</v>
      </c>
      <c r="M19" s="87">
        <v>0.14</v>
      </c>
      <c r="O19" s="106"/>
      <c r="Q19" s="107"/>
      <c r="R19" s="152"/>
      <c r="S19" s="108"/>
      <c r="U19" s="92">
        <v>7</v>
      </c>
      <c r="V19" s="93">
        <v>7.06</v>
      </c>
      <c r="W19" s="94">
        <v>6.63</v>
      </c>
      <c r="Y19" s="89">
        <v>13.4</v>
      </c>
      <c r="Z19" s="95">
        <v>12.5</v>
      </c>
      <c r="AA19" s="91">
        <v>11.6</v>
      </c>
      <c r="AC19" s="92">
        <v>8</v>
      </c>
      <c r="AD19" s="90">
        <v>0.1</v>
      </c>
      <c r="AE19" s="96">
        <v>0</v>
      </c>
      <c r="AG19" s="45">
        <f t="shared" si="2"/>
        <v>8</v>
      </c>
      <c r="AH19" s="281"/>
      <c r="AI19" s="97">
        <v>249</v>
      </c>
      <c r="AJ19" s="55">
        <f t="shared" si="3"/>
        <v>5359.85946</v>
      </c>
      <c r="AK19" s="97"/>
      <c r="AL19" s="55">
        <f t="shared" si="4"/>
      </c>
      <c r="AM19" s="97">
        <v>17</v>
      </c>
      <c r="AN19" s="55">
        <f t="shared" si="5"/>
        <v>365.93418</v>
      </c>
      <c r="AO19" s="109">
        <v>11</v>
      </c>
      <c r="AQ19" s="99">
        <v>272</v>
      </c>
      <c r="AR19" s="55">
        <f t="shared" si="6"/>
        <v>5854.94688</v>
      </c>
      <c r="AS19" s="97"/>
      <c r="AT19" s="55">
        <f t="shared" si="7"/>
      </c>
      <c r="AU19" s="97">
        <v>23</v>
      </c>
      <c r="AV19" s="55">
        <f t="shared" si="8"/>
        <v>495.08742</v>
      </c>
      <c r="AX19" s="99"/>
      <c r="AY19" s="100"/>
      <c r="AZ19" s="101"/>
      <c r="BA19" s="97"/>
      <c r="BB19" s="101"/>
      <c r="BC19" s="97"/>
      <c r="BD19" s="97"/>
      <c r="BE19" s="102"/>
      <c r="BG19" s="99"/>
      <c r="BH19" s="83"/>
      <c r="BI19" s="103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79"/>
      <c r="CH19" s="279"/>
      <c r="CI19" s="279"/>
      <c r="CJ19" s="279"/>
      <c r="CK19" s="279"/>
      <c r="CL19" s="20"/>
      <c r="CM19" s="280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4">
        <v>3255602</v>
      </c>
      <c r="D20" s="137">
        <f t="shared" si="0"/>
        <v>2.572</v>
      </c>
      <c r="E20" s="139">
        <v>5</v>
      </c>
      <c r="F20" s="140">
        <v>0.6</v>
      </c>
      <c r="G20" s="81" t="str">
        <f t="shared" si="1"/>
        <v>0.00</v>
      </c>
      <c r="H20" s="84">
        <v>1150</v>
      </c>
      <c r="I20" s="85">
        <v>5000</v>
      </c>
      <c r="K20" s="86" t="s">
        <v>209</v>
      </c>
      <c r="L20" s="84">
        <v>33</v>
      </c>
      <c r="M20" s="87">
        <v>0.25</v>
      </c>
      <c r="O20" s="106"/>
      <c r="Q20" s="107"/>
      <c r="R20" s="152"/>
      <c r="S20" s="108"/>
      <c r="U20" s="92">
        <v>7.25</v>
      </c>
      <c r="V20" s="93">
        <v>7</v>
      </c>
      <c r="W20" s="94">
        <v>6.62</v>
      </c>
      <c r="Y20" s="89">
        <v>13.5</v>
      </c>
      <c r="Z20" s="95">
        <v>12.9</v>
      </c>
      <c r="AA20" s="91">
        <v>12.7</v>
      </c>
      <c r="AC20" s="92">
        <v>8</v>
      </c>
      <c r="AD20" s="90">
        <v>0.1</v>
      </c>
      <c r="AE20" s="96">
        <v>0</v>
      </c>
      <c r="AG20" s="45">
        <f t="shared" si="2"/>
        <v>9</v>
      </c>
      <c r="AH20" s="281"/>
      <c r="AI20" s="97">
        <v>241</v>
      </c>
      <c r="AJ20" s="55">
        <f t="shared" si="3"/>
        <v>5169.56568</v>
      </c>
      <c r="AK20" s="97"/>
      <c r="AL20" s="55">
        <f t="shared" si="4"/>
      </c>
      <c r="AM20" s="97">
        <v>17</v>
      </c>
      <c r="AN20" s="55">
        <f t="shared" si="5"/>
        <v>364.65816</v>
      </c>
      <c r="AO20" s="109">
        <v>10</v>
      </c>
      <c r="AQ20" s="99">
        <v>208</v>
      </c>
      <c r="AR20" s="55">
        <f t="shared" si="6"/>
        <v>4461.69984</v>
      </c>
      <c r="AS20" s="97"/>
      <c r="AT20" s="55">
        <f t="shared" si="7"/>
      </c>
      <c r="AU20" s="97">
        <v>20</v>
      </c>
      <c r="AV20" s="55">
        <f t="shared" si="8"/>
        <v>429.0096</v>
      </c>
      <c r="AX20" s="99">
        <v>48867</v>
      </c>
      <c r="AY20" s="100">
        <v>3</v>
      </c>
      <c r="AZ20" s="101">
        <v>3.25</v>
      </c>
      <c r="BA20" s="97">
        <v>31</v>
      </c>
      <c r="BB20" s="101">
        <v>32</v>
      </c>
      <c r="BC20" s="97">
        <v>24</v>
      </c>
      <c r="BD20" s="97">
        <v>1365</v>
      </c>
      <c r="BE20" s="102">
        <v>12.25</v>
      </c>
      <c r="BG20" s="99">
        <v>24</v>
      </c>
      <c r="BH20" s="83" t="s">
        <v>223</v>
      </c>
      <c r="BI20" s="103" t="s">
        <v>226</v>
      </c>
      <c r="CE20" s="69"/>
      <c r="CF20" s="20" t="s">
        <v>142</v>
      </c>
      <c r="CG20" s="105">
        <f>(IF(((SUM(AM39:AM41))=0)," ",(AVERAGE(AM39:AM41))))</f>
        <v>18</v>
      </c>
      <c r="CH20" s="105">
        <f>(IF(((SUM(AN39:AN41))=0)," ",(AVERAGE(AN39:AN41))))</f>
        <v>360.86068</v>
      </c>
      <c r="CI20" s="279"/>
      <c r="CJ20" s="105">
        <f>(IF(((SUM(AU39:AU41))=0)," ",(AVERAGE(AU39:AU41))))</f>
        <v>23.333333333333332</v>
      </c>
      <c r="CK20" s="105">
        <f>(IF(((SUM(AV39:AV41))=0)," ",(AVERAGE(AV39:AV41))))</f>
        <v>468.04636</v>
      </c>
      <c r="CL20" s="20"/>
      <c r="CM20" s="151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2">
        <v>3258175</v>
      </c>
      <c r="D21" s="138">
        <f t="shared" si="0"/>
        <v>2.573</v>
      </c>
      <c r="E21" s="141">
        <v>4.8</v>
      </c>
      <c r="F21" s="142">
        <v>0.8</v>
      </c>
      <c r="G21" s="183" t="str">
        <f t="shared" si="1"/>
        <v>0.00</v>
      </c>
      <c r="H21" s="112">
        <v>4200</v>
      </c>
      <c r="I21" s="113">
        <v>2750</v>
      </c>
      <c r="K21" s="114" t="s">
        <v>222</v>
      </c>
      <c r="L21" s="112">
        <v>34</v>
      </c>
      <c r="M21" s="115">
        <v>0.48</v>
      </c>
      <c r="O21" s="116"/>
      <c r="Q21" s="107"/>
      <c r="R21" s="152"/>
      <c r="S21" s="108"/>
      <c r="U21" s="117">
        <v>6.93</v>
      </c>
      <c r="V21" s="118">
        <v>6.99</v>
      </c>
      <c r="W21" s="119">
        <v>6.86</v>
      </c>
      <c r="Y21" s="120">
        <v>13.4</v>
      </c>
      <c r="Z21" s="121">
        <v>12.7</v>
      </c>
      <c r="AA21" s="122">
        <v>13.1</v>
      </c>
      <c r="AC21" s="117">
        <v>6.5</v>
      </c>
      <c r="AD21" s="123">
        <v>0</v>
      </c>
      <c r="AE21" s="124">
        <v>0</v>
      </c>
      <c r="AG21" s="45">
        <f t="shared" si="2"/>
        <v>10</v>
      </c>
      <c r="AH21" s="281"/>
      <c r="AI21" s="125">
        <v>260</v>
      </c>
      <c r="AJ21" s="65">
        <f t="shared" si="3"/>
        <v>5579.2932</v>
      </c>
      <c r="AK21" s="125">
        <v>165</v>
      </c>
      <c r="AL21" s="65">
        <f t="shared" si="4"/>
        <v>3540.7053</v>
      </c>
      <c r="AM21" s="125">
        <v>19</v>
      </c>
      <c r="AN21" s="65">
        <f t="shared" si="5"/>
        <v>407.71758</v>
      </c>
      <c r="AO21" s="126">
        <v>12</v>
      </c>
      <c r="AQ21" s="127">
        <v>220</v>
      </c>
      <c r="AR21" s="65">
        <f t="shared" si="6"/>
        <v>4720.9403999999995</v>
      </c>
      <c r="AS21" s="125">
        <v>82</v>
      </c>
      <c r="AT21" s="65">
        <f t="shared" si="7"/>
        <v>1759.62324</v>
      </c>
      <c r="AU21" s="125">
        <v>27</v>
      </c>
      <c r="AV21" s="65">
        <f t="shared" si="8"/>
        <v>579.38814</v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4">
        <v>3260907</v>
      </c>
      <c r="D22" s="137">
        <f t="shared" si="0"/>
        <v>2.732</v>
      </c>
      <c r="E22" s="139">
        <v>5.1</v>
      </c>
      <c r="F22" s="140">
        <v>0.8</v>
      </c>
      <c r="G22" s="81" t="str">
        <f t="shared" si="1"/>
        <v>0.00</v>
      </c>
      <c r="H22" s="84">
        <v>0</v>
      </c>
      <c r="I22" s="85">
        <v>0</v>
      </c>
      <c r="K22" s="86" t="s">
        <v>213</v>
      </c>
      <c r="L22" s="84">
        <v>34</v>
      </c>
      <c r="M22" s="87">
        <v>0.46</v>
      </c>
      <c r="O22" s="106"/>
      <c r="Q22" s="107" t="s">
        <v>4</v>
      </c>
      <c r="R22" s="152" t="s">
        <v>4</v>
      </c>
      <c r="S22" s="108" t="s">
        <v>4</v>
      </c>
      <c r="U22" s="92">
        <v>7.05</v>
      </c>
      <c r="V22" s="93">
        <v>7.01</v>
      </c>
      <c r="W22" s="94">
        <v>6.81</v>
      </c>
      <c r="Y22" s="89">
        <v>12.5</v>
      </c>
      <c r="Z22" s="95">
        <v>11.9</v>
      </c>
      <c r="AA22" s="91">
        <v>12.6</v>
      </c>
      <c r="AC22" s="92">
        <v>5</v>
      </c>
      <c r="AD22" s="90">
        <v>0.01</v>
      </c>
      <c r="AE22" s="96">
        <v>0</v>
      </c>
      <c r="AG22" s="45">
        <f t="shared" si="2"/>
        <v>11</v>
      </c>
      <c r="AH22" s="281"/>
      <c r="AI22" s="97"/>
      <c r="AJ22" s="55">
        <f t="shared" si="3"/>
      </c>
      <c r="AK22" s="97"/>
      <c r="AL22" s="55">
        <f t="shared" si="4"/>
      </c>
      <c r="AM22" s="97"/>
      <c r="AN22" s="55">
        <f t="shared" si="5"/>
      </c>
      <c r="AO22" s="109"/>
      <c r="AQ22" s="99"/>
      <c r="AR22" s="55">
        <f t="shared" si="6"/>
      </c>
      <c r="AS22" s="97"/>
      <c r="AT22" s="55">
        <f t="shared" si="7"/>
      </c>
      <c r="AU22" s="97"/>
      <c r="AV22" s="55">
        <f t="shared" si="8"/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85">
        <f>(IF(((SUM(AV12:AV42))=0)," ",(AVERAGE(AV12:AV42))))</f>
        <v>455.3778999999999</v>
      </c>
      <c r="BR22" s="185">
        <f>MAX(AV12:AV42)</f>
        <v>579.38814</v>
      </c>
      <c r="BS22" s="26" t="s">
        <v>126</v>
      </c>
      <c r="BT22" s="26"/>
      <c r="BU22" s="185">
        <f>(IF(((SUM(AU12:AU42))=0)," ",(AVERAGE(AU12:AU42))))</f>
        <v>21</v>
      </c>
      <c r="BV22" s="58">
        <f>(CJ23)</f>
        <v>23.333333333333332</v>
      </c>
      <c r="BW22" s="185">
        <f>MAX(AU12:AU42)</f>
        <v>28</v>
      </c>
      <c r="BX22" s="26" t="s">
        <v>128</v>
      </c>
      <c r="BY22" s="26"/>
      <c r="BZ22" s="26">
        <v>0</v>
      </c>
      <c r="CA22" s="266" t="s">
        <v>47</v>
      </c>
      <c r="CB22" s="26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4">
        <v>3263784</v>
      </c>
      <c r="D23" s="137">
        <f t="shared" si="0"/>
        <v>2.877</v>
      </c>
      <c r="E23" s="139">
        <v>5.2</v>
      </c>
      <c r="F23" s="140">
        <v>0.8</v>
      </c>
      <c r="G23" s="81" t="str">
        <f t="shared" si="1"/>
        <v>0.00</v>
      </c>
      <c r="H23" s="84">
        <v>0</v>
      </c>
      <c r="I23" s="85">
        <v>0</v>
      </c>
      <c r="K23" s="86" t="s">
        <v>208</v>
      </c>
      <c r="L23" s="84">
        <v>35</v>
      </c>
      <c r="M23" s="87">
        <v>0.09</v>
      </c>
      <c r="O23" s="106"/>
      <c r="Q23" s="107"/>
      <c r="R23" s="152"/>
      <c r="S23" s="108"/>
      <c r="U23" s="92">
        <v>6.92</v>
      </c>
      <c r="V23" s="93">
        <v>6.98</v>
      </c>
      <c r="W23" s="94">
        <v>6.76</v>
      </c>
      <c r="Y23" s="89">
        <v>12.7</v>
      </c>
      <c r="Z23" s="95">
        <v>12.2</v>
      </c>
      <c r="AA23" s="91">
        <v>12.9</v>
      </c>
      <c r="AC23" s="92">
        <v>8</v>
      </c>
      <c r="AD23" s="90">
        <v>0.01</v>
      </c>
      <c r="AE23" s="96">
        <v>0</v>
      </c>
      <c r="AG23" s="45">
        <f t="shared" si="2"/>
        <v>12</v>
      </c>
      <c r="AH23" s="281"/>
      <c r="AI23" s="97"/>
      <c r="AJ23" s="55">
        <f t="shared" si="3"/>
      </c>
      <c r="AK23" s="97"/>
      <c r="AL23" s="55">
        <f t="shared" si="4"/>
      </c>
      <c r="AM23" s="97"/>
      <c r="AN23" s="55">
        <f t="shared" si="5"/>
      </c>
      <c r="AO23" s="109"/>
      <c r="AQ23" s="99"/>
      <c r="AR23" s="55">
        <f t="shared" si="6"/>
      </c>
      <c r="AS23" s="97"/>
      <c r="AT23" s="55">
        <f t="shared" si="7"/>
      </c>
      <c r="AU23" s="97"/>
      <c r="AV23" s="55">
        <f t="shared" si="8"/>
      </c>
      <c r="AX23" s="99"/>
      <c r="AY23" s="100"/>
      <c r="AZ23" s="101"/>
      <c r="BA23" s="97"/>
      <c r="BB23" s="101"/>
      <c r="BC23" s="97"/>
      <c r="BD23" s="97"/>
      <c r="BE23" s="102"/>
      <c r="BG23" s="99"/>
      <c r="BH23" s="83"/>
      <c r="BI23" s="103"/>
      <c r="BK23" s="17"/>
      <c r="BL23" s="19"/>
      <c r="BM23" s="26" t="s">
        <v>86</v>
      </c>
      <c r="BN23" s="20"/>
      <c r="BO23" s="153" t="s">
        <v>131</v>
      </c>
      <c r="BP23" s="26"/>
      <c r="BQ23" s="267">
        <v>963</v>
      </c>
      <c r="BR23" s="267">
        <v>1605</v>
      </c>
      <c r="BS23" s="154" t="s">
        <v>126</v>
      </c>
      <c r="BT23" s="26"/>
      <c r="BU23" s="267">
        <v>30</v>
      </c>
      <c r="BV23" s="268">
        <v>45</v>
      </c>
      <c r="BW23" s="267">
        <v>50</v>
      </c>
      <c r="BX23" s="154" t="s">
        <v>128</v>
      </c>
      <c r="BY23" s="26"/>
      <c r="BZ23" s="269" t="s">
        <v>150</v>
      </c>
      <c r="CA23" s="270" t="s">
        <v>47</v>
      </c>
      <c r="CB23" s="154">
        <v>24</v>
      </c>
      <c r="CC23" s="136"/>
      <c r="CE23" s="69"/>
      <c r="CF23" s="72" t="s">
        <v>53</v>
      </c>
      <c r="CG23" s="185">
        <f>(IF(((SUM(CG12:CG20))=0)," ",(MAX(CG12:CG20))))</f>
        <v>18</v>
      </c>
      <c r="CH23" s="185">
        <f>(IF(((SUM(CH12:CH20))=0)," ",(MAX(CH12:CH20))))</f>
        <v>390.65672</v>
      </c>
      <c r="CI23" s="185"/>
      <c r="CJ23" s="185">
        <f>(IF(((SUM(CJ12:CJ20))=0)," ",(MAX(CJ12:CJ20))))</f>
        <v>23.333333333333332</v>
      </c>
      <c r="CK23" s="185">
        <f>(IF(((SUM(CK12:CK20))=0)," ",(MAX(CK12:CK20))))</f>
        <v>504.7646</v>
      </c>
      <c r="CL23" s="71"/>
      <c r="CM23" s="60">
        <f>(MAX(CM12:CM20))</f>
        <v>0.0014285714285714286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4">
        <v>3266556</v>
      </c>
      <c r="D24" s="137">
        <f t="shared" si="0"/>
        <v>2.772</v>
      </c>
      <c r="E24" s="139">
        <v>5</v>
      </c>
      <c r="F24" s="140">
        <v>0.8</v>
      </c>
      <c r="G24" s="81" t="str">
        <f t="shared" si="1"/>
        <v>0.00</v>
      </c>
      <c r="H24" s="84">
        <v>6450</v>
      </c>
      <c r="I24" s="85">
        <v>1000</v>
      </c>
      <c r="K24" s="86" t="s">
        <v>208</v>
      </c>
      <c r="L24" s="84">
        <v>35</v>
      </c>
      <c r="M24" s="87">
        <v>0.07</v>
      </c>
      <c r="O24" s="106"/>
      <c r="Q24" s="107" t="s">
        <v>10</v>
      </c>
      <c r="R24" s="152" t="s">
        <v>10</v>
      </c>
      <c r="S24" s="108" t="s">
        <v>10</v>
      </c>
      <c r="U24" s="92">
        <v>7.23</v>
      </c>
      <c r="V24" s="93">
        <v>7.05</v>
      </c>
      <c r="W24" s="94">
        <v>6.86</v>
      </c>
      <c r="Y24" s="89">
        <v>13.3</v>
      </c>
      <c r="Z24" s="95">
        <v>12.7</v>
      </c>
      <c r="AA24" s="91">
        <v>13.2</v>
      </c>
      <c r="AC24" s="92">
        <v>8.5</v>
      </c>
      <c r="AD24" s="90">
        <v>0</v>
      </c>
      <c r="AE24" s="96">
        <v>0</v>
      </c>
      <c r="AG24" s="45">
        <f t="shared" si="2"/>
        <v>13</v>
      </c>
      <c r="AH24" s="281"/>
      <c r="AI24" s="97"/>
      <c r="AJ24" s="55">
        <f t="shared" si="3"/>
      </c>
      <c r="AK24" s="97"/>
      <c r="AL24" s="55">
        <f t="shared" si="4"/>
      </c>
      <c r="AM24" s="97"/>
      <c r="AN24" s="55">
        <f t="shared" si="5"/>
      </c>
      <c r="AO24" s="109"/>
      <c r="AQ24" s="99"/>
      <c r="AR24" s="55">
        <f t="shared" si="6"/>
      </c>
      <c r="AS24" s="97"/>
      <c r="AT24" s="55">
        <f t="shared" si="7"/>
      </c>
      <c r="AU24" s="97"/>
      <c r="AV24" s="55">
        <f t="shared" si="8"/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4">
        <v>3269419</v>
      </c>
      <c r="D25" s="137">
        <f t="shared" si="0"/>
        <v>2.863</v>
      </c>
      <c r="E25" s="139">
        <v>4</v>
      </c>
      <c r="F25" s="140">
        <v>0.8</v>
      </c>
      <c r="G25" s="81" t="str">
        <f t="shared" si="1"/>
        <v>0.00</v>
      </c>
      <c r="H25" s="84">
        <v>2000</v>
      </c>
      <c r="I25" s="85">
        <v>1500</v>
      </c>
      <c r="K25" s="86" t="s">
        <v>209</v>
      </c>
      <c r="L25" s="84">
        <v>25</v>
      </c>
      <c r="M25" s="87">
        <v>0.01</v>
      </c>
      <c r="O25" s="106"/>
      <c r="Q25" s="107"/>
      <c r="R25" s="152"/>
      <c r="S25" s="108"/>
      <c r="U25" s="92">
        <v>7.24</v>
      </c>
      <c r="V25" s="93">
        <v>7.1</v>
      </c>
      <c r="W25" s="94">
        <v>6.75</v>
      </c>
      <c r="Y25" s="89">
        <v>12.7</v>
      </c>
      <c r="Z25" s="95">
        <v>12.1</v>
      </c>
      <c r="AA25" s="91">
        <v>12.2</v>
      </c>
      <c r="AC25" s="92">
        <v>7</v>
      </c>
      <c r="AD25" s="90">
        <v>1.5</v>
      </c>
      <c r="AE25" s="96">
        <v>0</v>
      </c>
      <c r="AG25" s="45">
        <f t="shared" si="2"/>
        <v>14</v>
      </c>
      <c r="AH25" s="281"/>
      <c r="AI25" s="97"/>
      <c r="AJ25" s="55">
        <f t="shared" si="3"/>
      </c>
      <c r="AK25" s="97"/>
      <c r="AL25" s="55">
        <f t="shared" si="4"/>
      </c>
      <c r="AM25" s="97"/>
      <c r="AN25" s="55">
        <f t="shared" si="5"/>
      </c>
      <c r="AO25" s="109"/>
      <c r="AQ25" s="99"/>
      <c r="AR25" s="55">
        <f t="shared" si="6"/>
      </c>
      <c r="AS25" s="97"/>
      <c r="AT25" s="55">
        <f t="shared" si="7"/>
      </c>
      <c r="AU25" s="97"/>
      <c r="AV25" s="55">
        <f t="shared" si="8"/>
      </c>
      <c r="AX25" s="99">
        <v>63894</v>
      </c>
      <c r="AY25" s="100">
        <v>3</v>
      </c>
      <c r="AZ25" s="101">
        <v>4</v>
      </c>
      <c r="BA25" s="97">
        <v>40.3</v>
      </c>
      <c r="BB25" s="101">
        <v>32</v>
      </c>
      <c r="BC25" s="97">
        <v>24</v>
      </c>
      <c r="BD25" s="97">
        <v>1800</v>
      </c>
      <c r="BE25" s="102">
        <v>12.31</v>
      </c>
      <c r="BG25" s="99">
        <v>24</v>
      </c>
      <c r="BH25" s="83" t="s">
        <v>223</v>
      </c>
      <c r="BI25" s="103" t="s">
        <v>226</v>
      </c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2">
        <v>3272160</v>
      </c>
      <c r="D26" s="138">
        <f t="shared" si="0"/>
        <v>2.741</v>
      </c>
      <c r="E26" s="141">
        <v>4</v>
      </c>
      <c r="F26" s="142">
        <v>0.8</v>
      </c>
      <c r="G26" s="183" t="str">
        <f t="shared" si="1"/>
        <v>0.00</v>
      </c>
      <c r="H26" s="112">
        <v>2300</v>
      </c>
      <c r="I26" s="113">
        <v>0</v>
      </c>
      <c r="K26" s="114" t="s">
        <v>209</v>
      </c>
      <c r="L26" s="112">
        <v>17</v>
      </c>
      <c r="M26" s="115">
        <v>0</v>
      </c>
      <c r="O26" s="116"/>
      <c r="Q26" s="107" t="s">
        <v>11</v>
      </c>
      <c r="R26" s="152" t="s">
        <v>11</v>
      </c>
      <c r="S26" s="108" t="s">
        <v>11</v>
      </c>
      <c r="U26" s="117">
        <v>7.25</v>
      </c>
      <c r="V26" s="118">
        <v>7.07</v>
      </c>
      <c r="W26" s="119">
        <v>7.04</v>
      </c>
      <c r="Y26" s="120">
        <v>13.2</v>
      </c>
      <c r="Z26" s="121">
        <v>12</v>
      </c>
      <c r="AA26" s="122">
        <v>11.8</v>
      </c>
      <c r="AC26" s="117">
        <v>9.5</v>
      </c>
      <c r="AD26" s="123">
        <v>0</v>
      </c>
      <c r="AE26" s="124">
        <v>0</v>
      </c>
      <c r="AG26" s="45">
        <f t="shared" si="2"/>
        <v>15</v>
      </c>
      <c r="AH26" s="281"/>
      <c r="AI26" s="125">
        <v>220</v>
      </c>
      <c r="AJ26" s="65">
        <f t="shared" si="3"/>
        <v>5029.1867999999995</v>
      </c>
      <c r="AK26" s="125"/>
      <c r="AL26" s="65">
        <f t="shared" si="4"/>
      </c>
      <c r="AM26" s="125">
        <v>15</v>
      </c>
      <c r="AN26" s="65">
        <f t="shared" si="5"/>
        <v>342.89910000000003</v>
      </c>
      <c r="AO26" s="126">
        <v>10</v>
      </c>
      <c r="AQ26" s="127">
        <v>220</v>
      </c>
      <c r="AR26" s="65">
        <f t="shared" si="6"/>
        <v>5029.1867999999995</v>
      </c>
      <c r="AS26" s="125"/>
      <c r="AT26" s="65">
        <f t="shared" si="7"/>
      </c>
      <c r="AU26" s="125">
        <v>19</v>
      </c>
      <c r="AV26" s="65">
        <f t="shared" si="8"/>
        <v>434.33886</v>
      </c>
      <c r="AX26" s="127"/>
      <c r="AY26" s="128"/>
      <c r="AZ26" s="129"/>
      <c r="BA26" s="125"/>
      <c r="BB26" s="129"/>
      <c r="BC26" s="125"/>
      <c r="BD26" s="125"/>
      <c r="BE26" s="130"/>
      <c r="BG26" s="127"/>
      <c r="BH26" s="110"/>
      <c r="BI26" s="131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4">
        <v>3274853</v>
      </c>
      <c r="D27" s="137">
        <f t="shared" si="0"/>
        <v>2.693</v>
      </c>
      <c r="E27" s="139">
        <v>4.4</v>
      </c>
      <c r="F27" s="140">
        <v>0.8</v>
      </c>
      <c r="G27" s="81" t="str">
        <f t="shared" si="1"/>
        <v>0.00</v>
      </c>
      <c r="H27" s="84">
        <v>150</v>
      </c>
      <c r="I27" s="85">
        <v>5750</v>
      </c>
      <c r="K27" s="86" t="s">
        <v>209</v>
      </c>
      <c r="L27" s="84">
        <v>25</v>
      </c>
      <c r="M27" s="87">
        <v>0</v>
      </c>
      <c r="O27" s="106"/>
      <c r="Q27" s="107"/>
      <c r="R27" s="152"/>
      <c r="S27" s="108"/>
      <c r="U27" s="92">
        <v>7.18</v>
      </c>
      <c r="V27" s="93">
        <v>7.08</v>
      </c>
      <c r="W27" s="94">
        <v>6.72</v>
      </c>
      <c r="Y27" s="89">
        <v>12.9</v>
      </c>
      <c r="Z27" s="95">
        <v>11.6</v>
      </c>
      <c r="AA27" s="91">
        <v>11.2</v>
      </c>
      <c r="AC27" s="92">
        <v>8</v>
      </c>
      <c r="AD27" s="90">
        <v>0</v>
      </c>
      <c r="AE27" s="96">
        <v>0</v>
      </c>
      <c r="AG27" s="45">
        <f t="shared" si="2"/>
        <v>16</v>
      </c>
      <c r="AH27" s="281"/>
      <c r="AI27" s="97">
        <v>228</v>
      </c>
      <c r="AJ27" s="55">
        <f t="shared" si="3"/>
        <v>5120.79336</v>
      </c>
      <c r="AK27" s="97"/>
      <c r="AL27" s="55">
        <f t="shared" si="4"/>
      </c>
      <c r="AM27" s="97">
        <v>15</v>
      </c>
      <c r="AN27" s="55">
        <f t="shared" si="5"/>
        <v>336.89430000000004</v>
      </c>
      <c r="AO27" s="109">
        <v>11</v>
      </c>
      <c r="AQ27" s="99">
        <v>234</v>
      </c>
      <c r="AR27" s="55">
        <f t="shared" si="6"/>
        <v>5255.55108</v>
      </c>
      <c r="AS27" s="97"/>
      <c r="AT27" s="55">
        <f t="shared" si="7"/>
      </c>
      <c r="AU27" s="97">
        <v>17</v>
      </c>
      <c r="AV27" s="55">
        <f t="shared" si="8"/>
        <v>381.81354</v>
      </c>
      <c r="AX27" s="99">
        <v>32696</v>
      </c>
      <c r="AY27" s="100">
        <v>4</v>
      </c>
      <c r="AZ27" s="101">
        <v>2</v>
      </c>
      <c r="BA27" s="97">
        <v>18.6</v>
      </c>
      <c r="BB27" s="101">
        <v>30</v>
      </c>
      <c r="BC27" s="97">
        <v>12</v>
      </c>
      <c r="BD27" s="97">
        <v>900</v>
      </c>
      <c r="BE27" s="102">
        <v>12.32</v>
      </c>
      <c r="BG27" s="99">
        <v>12</v>
      </c>
      <c r="BH27" s="83" t="s">
        <v>223</v>
      </c>
      <c r="BI27" s="103" t="s">
        <v>226</v>
      </c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4">
        <v>3277501</v>
      </c>
      <c r="D28" s="137">
        <f t="shared" si="0"/>
        <v>2.648</v>
      </c>
      <c r="E28" s="139">
        <v>4.2</v>
      </c>
      <c r="F28" s="140">
        <v>0.6</v>
      </c>
      <c r="G28" s="81" t="str">
        <f t="shared" si="1"/>
        <v>0.00</v>
      </c>
      <c r="H28" s="84">
        <v>0</v>
      </c>
      <c r="I28" s="85">
        <v>1500</v>
      </c>
      <c r="K28" s="86" t="s">
        <v>230</v>
      </c>
      <c r="L28" s="84">
        <v>31</v>
      </c>
      <c r="M28" s="87">
        <v>0</v>
      </c>
      <c r="O28" s="106"/>
      <c r="Q28" s="107"/>
      <c r="R28" s="152"/>
      <c r="S28" s="108"/>
      <c r="U28" s="92">
        <v>7.18</v>
      </c>
      <c r="V28" s="93">
        <v>7</v>
      </c>
      <c r="W28" s="94">
        <v>6.75</v>
      </c>
      <c r="Y28" s="89">
        <v>12.8</v>
      </c>
      <c r="Z28" s="95">
        <v>12.3</v>
      </c>
      <c r="AA28" s="91">
        <v>12.2</v>
      </c>
      <c r="AC28" s="92">
        <v>10</v>
      </c>
      <c r="AD28" s="90">
        <v>0.01</v>
      </c>
      <c r="AE28" s="96">
        <v>0</v>
      </c>
      <c r="AG28" s="45">
        <f t="shared" si="2"/>
        <v>17</v>
      </c>
      <c r="AH28" s="281"/>
      <c r="AI28" s="97">
        <v>248</v>
      </c>
      <c r="AJ28" s="55">
        <f t="shared" si="3"/>
        <v>5476.91136</v>
      </c>
      <c r="AK28" s="97">
        <v>152</v>
      </c>
      <c r="AL28" s="55">
        <f t="shared" si="4"/>
        <v>3356.8166400000005</v>
      </c>
      <c r="AM28" s="97">
        <v>15</v>
      </c>
      <c r="AN28" s="55">
        <f t="shared" si="5"/>
        <v>331.2648</v>
      </c>
      <c r="AO28" s="109">
        <v>10</v>
      </c>
      <c r="AQ28" s="99">
        <v>210</v>
      </c>
      <c r="AR28" s="55">
        <f t="shared" si="6"/>
        <v>4637.7072</v>
      </c>
      <c r="AS28" s="97">
        <v>91</v>
      </c>
      <c r="AT28" s="55">
        <f t="shared" si="7"/>
        <v>2009.6731200000002</v>
      </c>
      <c r="AU28" s="97">
        <v>22</v>
      </c>
      <c r="AV28" s="55">
        <f t="shared" si="8"/>
        <v>485.85504</v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71" t="s">
        <v>150</v>
      </c>
      <c r="BR28" s="271" t="s">
        <v>150</v>
      </c>
      <c r="BS28" s="271" t="s">
        <v>150</v>
      </c>
      <c r="BT28" s="271"/>
      <c r="BU28" s="271" t="s">
        <v>150</v>
      </c>
      <c r="BV28" s="71">
        <f>(CM23)</f>
        <v>0.0014285714285714286</v>
      </c>
      <c r="BW28" s="71">
        <f>MAX(AE12:AE42)</f>
        <v>0.01</v>
      </c>
      <c r="BX28" s="26" t="s">
        <v>128</v>
      </c>
      <c r="BY28" s="26"/>
      <c r="BZ28" s="26">
        <v>0</v>
      </c>
      <c r="CA28" s="266" t="s">
        <v>48</v>
      </c>
      <c r="CB28" s="26" t="s">
        <v>23</v>
      </c>
      <c r="CC28" s="136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4">
        <v>3280101</v>
      </c>
      <c r="D29" s="137">
        <f t="shared" si="0"/>
        <v>2.6</v>
      </c>
      <c r="E29" s="139">
        <v>4.4</v>
      </c>
      <c r="F29" s="140">
        <v>0.7</v>
      </c>
      <c r="G29" s="81" t="str">
        <f t="shared" si="1"/>
        <v>0.00</v>
      </c>
      <c r="H29" s="84">
        <v>0</v>
      </c>
      <c r="I29" s="85">
        <v>1000</v>
      </c>
      <c r="K29" s="86" t="s">
        <v>209</v>
      </c>
      <c r="L29" s="84">
        <v>20</v>
      </c>
      <c r="M29" s="87">
        <v>0</v>
      </c>
      <c r="O29" s="106"/>
      <c r="Q29" s="107"/>
      <c r="R29" s="152"/>
      <c r="S29" s="108"/>
      <c r="U29" s="92">
        <v>6.84</v>
      </c>
      <c r="V29" s="93">
        <v>6.85</v>
      </c>
      <c r="W29" s="94">
        <v>6.53</v>
      </c>
      <c r="Y29" s="89">
        <v>12.5</v>
      </c>
      <c r="Z29" s="95">
        <v>11.9</v>
      </c>
      <c r="AA29" s="91">
        <v>11.2</v>
      </c>
      <c r="AC29" s="92">
        <v>6</v>
      </c>
      <c r="AD29" s="90">
        <v>0.01</v>
      </c>
      <c r="AE29" s="96">
        <v>0</v>
      </c>
      <c r="AG29" s="45">
        <f t="shared" si="2"/>
        <v>18</v>
      </c>
      <c r="AH29" s="281"/>
      <c r="AI29" s="97"/>
      <c r="AJ29" s="55">
        <f t="shared" si="3"/>
      </c>
      <c r="AK29" s="97"/>
      <c r="AL29" s="55">
        <f t="shared" si="4"/>
      </c>
      <c r="AM29" s="97"/>
      <c r="AN29" s="55">
        <f t="shared" si="5"/>
      </c>
      <c r="AO29" s="109"/>
      <c r="AQ29" s="99"/>
      <c r="AR29" s="55">
        <f t="shared" si="6"/>
      </c>
      <c r="AS29" s="97"/>
      <c r="AT29" s="55">
        <f t="shared" si="7"/>
      </c>
      <c r="AU29" s="97"/>
      <c r="AV29" s="55">
        <f t="shared" si="8"/>
      </c>
      <c r="AX29" s="99"/>
      <c r="AY29" s="100"/>
      <c r="AZ29" s="101"/>
      <c r="BA29" s="97"/>
      <c r="BB29" s="101"/>
      <c r="BC29" s="97"/>
      <c r="BD29" s="97"/>
      <c r="BE29" s="102"/>
      <c r="BG29" s="99"/>
      <c r="BH29" s="83"/>
      <c r="BI29" s="103"/>
      <c r="BK29" s="17"/>
      <c r="BL29" s="19"/>
      <c r="BM29" s="26" t="s">
        <v>86</v>
      </c>
      <c r="BN29" s="20"/>
      <c r="BO29" s="153" t="s">
        <v>131</v>
      </c>
      <c r="BP29" s="26"/>
      <c r="BQ29" s="269" t="s">
        <v>150</v>
      </c>
      <c r="BR29" s="269" t="s">
        <v>150</v>
      </c>
      <c r="BS29" s="269" t="s">
        <v>150</v>
      </c>
      <c r="BT29" s="271"/>
      <c r="BU29" s="269" t="s">
        <v>150</v>
      </c>
      <c r="BV29" s="154" t="s">
        <v>146</v>
      </c>
      <c r="BW29" s="154">
        <v>0.3</v>
      </c>
      <c r="BX29" s="154" t="s">
        <v>128</v>
      </c>
      <c r="BY29" s="26"/>
      <c r="BZ29" s="269" t="s">
        <v>150</v>
      </c>
      <c r="CA29" s="270" t="s">
        <v>48</v>
      </c>
      <c r="CB29" s="154" t="s">
        <v>23</v>
      </c>
      <c r="CC29" s="136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4">
        <v>3282584</v>
      </c>
      <c r="D30" s="137">
        <f t="shared" si="0"/>
        <v>2.483</v>
      </c>
      <c r="E30" s="139">
        <v>3.4</v>
      </c>
      <c r="F30" s="140">
        <v>0.6</v>
      </c>
      <c r="G30" s="81" t="str">
        <f t="shared" si="1"/>
        <v>0.00</v>
      </c>
      <c r="H30" s="84">
        <v>0</v>
      </c>
      <c r="I30" s="85">
        <v>0</v>
      </c>
      <c r="K30" s="86" t="s">
        <v>222</v>
      </c>
      <c r="L30" s="84">
        <v>30</v>
      </c>
      <c r="M30" s="87">
        <v>0.01</v>
      </c>
      <c r="O30" s="106"/>
      <c r="Q30" s="107" t="s">
        <v>12</v>
      </c>
      <c r="R30" s="152" t="s">
        <v>12</v>
      </c>
      <c r="S30" s="108" t="s">
        <v>12</v>
      </c>
      <c r="U30" s="92">
        <v>6.93</v>
      </c>
      <c r="V30" s="93">
        <v>7.02</v>
      </c>
      <c r="W30" s="94">
        <v>6.82</v>
      </c>
      <c r="Y30" s="89">
        <v>12.4</v>
      </c>
      <c r="Z30" s="95">
        <v>12</v>
      </c>
      <c r="AA30" s="91">
        <v>11.6</v>
      </c>
      <c r="AC30" s="92">
        <v>5.5</v>
      </c>
      <c r="AD30" s="90">
        <v>0.1</v>
      </c>
      <c r="AE30" s="96">
        <v>0</v>
      </c>
      <c r="AG30" s="45">
        <f t="shared" si="2"/>
        <v>19</v>
      </c>
      <c r="AH30" s="281"/>
      <c r="AI30" s="97"/>
      <c r="AJ30" s="55">
        <f t="shared" si="3"/>
      </c>
      <c r="AK30" s="97"/>
      <c r="AL30" s="55">
        <f t="shared" si="4"/>
      </c>
      <c r="AM30" s="97"/>
      <c r="AN30" s="55">
        <f t="shared" si="5"/>
      </c>
      <c r="AO30" s="109"/>
      <c r="AQ30" s="99"/>
      <c r="AR30" s="55">
        <f t="shared" si="6"/>
      </c>
      <c r="AS30" s="97"/>
      <c r="AT30" s="55">
        <f t="shared" si="7"/>
      </c>
      <c r="AU30" s="97"/>
      <c r="AV30" s="55">
        <f t="shared" si="8"/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2">
        <v>3285029</v>
      </c>
      <c r="D31" s="138">
        <f t="shared" si="0"/>
        <v>2.445</v>
      </c>
      <c r="E31" s="141">
        <v>4.2</v>
      </c>
      <c r="F31" s="142">
        <v>0.7</v>
      </c>
      <c r="G31" s="183" t="str">
        <f t="shared" si="1"/>
        <v>0.00</v>
      </c>
      <c r="H31" s="112">
        <v>1500</v>
      </c>
      <c r="I31" s="113">
        <v>6500</v>
      </c>
      <c r="K31" s="114" t="s">
        <v>214</v>
      </c>
      <c r="L31" s="112">
        <v>20</v>
      </c>
      <c r="M31" s="115">
        <v>0</v>
      </c>
      <c r="O31" s="116"/>
      <c r="Q31" s="107"/>
      <c r="R31" s="152"/>
      <c r="S31" s="108"/>
      <c r="U31" s="117">
        <v>6.99</v>
      </c>
      <c r="V31" s="118">
        <v>6.98</v>
      </c>
      <c r="W31" s="119">
        <v>6.96</v>
      </c>
      <c r="Y31" s="120">
        <v>13</v>
      </c>
      <c r="Z31" s="121">
        <v>12.7</v>
      </c>
      <c r="AA31" s="122">
        <v>12.5</v>
      </c>
      <c r="AC31" s="117">
        <v>8</v>
      </c>
      <c r="AD31" s="123">
        <v>0.1</v>
      </c>
      <c r="AE31" s="124">
        <v>0</v>
      </c>
      <c r="AG31" s="45">
        <f t="shared" si="2"/>
        <v>20</v>
      </c>
      <c r="AH31" s="281"/>
      <c r="AI31" s="125"/>
      <c r="AJ31" s="65">
        <f t="shared" si="3"/>
      </c>
      <c r="AK31" s="125"/>
      <c r="AL31" s="65">
        <f t="shared" si="4"/>
      </c>
      <c r="AM31" s="125"/>
      <c r="AN31" s="65">
        <f t="shared" si="5"/>
      </c>
      <c r="AO31" s="126"/>
      <c r="AQ31" s="127"/>
      <c r="AR31" s="65">
        <f t="shared" si="6"/>
      </c>
      <c r="AS31" s="125"/>
      <c r="AT31" s="65">
        <f t="shared" si="7"/>
      </c>
      <c r="AU31" s="125"/>
      <c r="AV31" s="65">
        <f t="shared" si="8"/>
      </c>
      <c r="AX31" s="127">
        <v>65306</v>
      </c>
      <c r="AY31" s="128">
        <v>3</v>
      </c>
      <c r="AZ31" s="129">
        <v>4</v>
      </c>
      <c r="BA31" s="125">
        <v>37.2</v>
      </c>
      <c r="BB31" s="129">
        <v>33</v>
      </c>
      <c r="BC31" s="125">
        <v>24</v>
      </c>
      <c r="BD31" s="125">
        <v>1800</v>
      </c>
      <c r="BE31" s="130">
        <v>12.35</v>
      </c>
      <c r="BG31" s="127">
        <v>24</v>
      </c>
      <c r="BH31" s="110" t="s">
        <v>223</v>
      </c>
      <c r="BI31" s="131" t="s">
        <v>226</v>
      </c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4">
        <v>3287465</v>
      </c>
      <c r="D32" s="137">
        <f t="shared" si="0"/>
        <v>2.436</v>
      </c>
      <c r="E32" s="139">
        <v>3.6</v>
      </c>
      <c r="F32" s="140">
        <v>0.6</v>
      </c>
      <c r="G32" s="81" t="str">
        <f t="shared" si="1"/>
        <v>0.00</v>
      </c>
      <c r="H32" s="84">
        <v>1800</v>
      </c>
      <c r="I32" s="85">
        <v>1000</v>
      </c>
      <c r="K32" s="86" t="s">
        <v>209</v>
      </c>
      <c r="L32" s="84">
        <v>10</v>
      </c>
      <c r="M32" s="87">
        <v>0</v>
      </c>
      <c r="O32" s="106"/>
      <c r="Q32" s="107" t="s">
        <v>13</v>
      </c>
      <c r="R32" s="152" t="s">
        <v>13</v>
      </c>
      <c r="S32" s="108" t="s">
        <v>13</v>
      </c>
      <c r="U32" s="92">
        <v>7.28</v>
      </c>
      <c r="V32" s="93">
        <v>7.16</v>
      </c>
      <c r="W32" s="94">
        <v>7.14</v>
      </c>
      <c r="Y32" s="89">
        <v>13.1</v>
      </c>
      <c r="Z32" s="95">
        <v>11.5</v>
      </c>
      <c r="AA32" s="91">
        <v>11.1</v>
      </c>
      <c r="AC32" s="92">
        <v>12</v>
      </c>
      <c r="AD32" s="90">
        <v>0.01</v>
      </c>
      <c r="AE32" s="96">
        <v>0.01</v>
      </c>
      <c r="AG32" s="45">
        <f t="shared" si="2"/>
        <v>21</v>
      </c>
      <c r="AH32" s="281"/>
      <c r="AI32" s="97">
        <v>299</v>
      </c>
      <c r="AJ32" s="55">
        <f t="shared" si="3"/>
        <v>6074.55576</v>
      </c>
      <c r="AK32" s="97">
        <v>157</v>
      </c>
      <c r="AL32" s="55">
        <f t="shared" si="4"/>
        <v>3189.64968</v>
      </c>
      <c r="AM32" s="97">
        <v>15</v>
      </c>
      <c r="AN32" s="55">
        <f t="shared" si="5"/>
        <v>304.7436</v>
      </c>
      <c r="AO32" s="109">
        <v>10</v>
      </c>
      <c r="AQ32" s="99">
        <v>208</v>
      </c>
      <c r="AR32" s="55">
        <f t="shared" si="6"/>
        <v>4225.7779199999995</v>
      </c>
      <c r="AS32" s="97">
        <v>76</v>
      </c>
      <c r="AT32" s="55">
        <f t="shared" si="7"/>
        <v>1544.03424</v>
      </c>
      <c r="AU32" s="97">
        <v>15</v>
      </c>
      <c r="AV32" s="55">
        <f t="shared" si="8"/>
        <v>304.7436</v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4">
        <v>3289788</v>
      </c>
      <c r="D33" s="137">
        <f t="shared" si="0"/>
        <v>2.323</v>
      </c>
      <c r="E33" s="139">
        <v>4.2</v>
      </c>
      <c r="F33" s="140">
        <v>0.6</v>
      </c>
      <c r="G33" s="81" t="str">
        <f t="shared" si="1"/>
        <v>0.00</v>
      </c>
      <c r="H33" s="84">
        <v>3000</v>
      </c>
      <c r="I33" s="85">
        <v>3500</v>
      </c>
      <c r="K33" s="86" t="s">
        <v>209</v>
      </c>
      <c r="L33" s="84">
        <v>26</v>
      </c>
      <c r="M33" s="87">
        <v>0.03</v>
      </c>
      <c r="O33" s="106"/>
      <c r="Q33" s="107"/>
      <c r="R33" s="152"/>
      <c r="S33" s="108"/>
      <c r="U33" s="92">
        <v>7.04</v>
      </c>
      <c r="V33" s="93">
        <v>6.99</v>
      </c>
      <c r="W33" s="94">
        <v>6.65</v>
      </c>
      <c r="Y33" s="89">
        <v>12.4</v>
      </c>
      <c r="Z33" s="95">
        <v>11.3</v>
      </c>
      <c r="AA33" s="91">
        <v>10.8</v>
      </c>
      <c r="AC33" s="92">
        <v>5</v>
      </c>
      <c r="AD33" s="90">
        <v>0.1</v>
      </c>
      <c r="AE33" s="96">
        <v>0</v>
      </c>
      <c r="AG33" s="45">
        <f t="shared" si="2"/>
        <v>22</v>
      </c>
      <c r="AH33" s="281"/>
      <c r="AI33" s="97">
        <v>264</v>
      </c>
      <c r="AJ33" s="55">
        <f t="shared" si="3"/>
        <v>5114.68848</v>
      </c>
      <c r="AK33" s="97"/>
      <c r="AL33" s="55">
        <f t="shared" si="4"/>
      </c>
      <c r="AM33" s="97">
        <v>16</v>
      </c>
      <c r="AN33" s="55">
        <f t="shared" si="5"/>
        <v>309.98112</v>
      </c>
      <c r="AO33" s="109">
        <v>10</v>
      </c>
      <c r="AQ33" s="99">
        <v>282</v>
      </c>
      <c r="AR33" s="55">
        <f t="shared" si="6"/>
        <v>5463.41724</v>
      </c>
      <c r="AS33" s="97"/>
      <c r="AT33" s="55">
        <f t="shared" si="7"/>
      </c>
      <c r="AU33" s="97">
        <v>18</v>
      </c>
      <c r="AV33" s="55">
        <f t="shared" si="8"/>
        <v>348.72876</v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273">
        <f>(D47)</f>
        <v>2.6126774193548385</v>
      </c>
      <c r="BR33" s="273">
        <f>(D45)</f>
        <v>3.266</v>
      </c>
      <c r="BS33" s="26" t="s">
        <v>127</v>
      </c>
      <c r="BT33" s="26"/>
      <c r="BU33" s="271" t="s">
        <v>150</v>
      </c>
      <c r="BV33" s="271" t="s">
        <v>150</v>
      </c>
      <c r="BW33" s="271" t="s">
        <v>150</v>
      </c>
      <c r="BX33" s="271" t="s">
        <v>150</v>
      </c>
      <c r="BY33" s="26"/>
      <c r="BZ33" s="26">
        <v>0</v>
      </c>
      <c r="CA33" s="75" t="s">
        <v>24</v>
      </c>
      <c r="CB33" s="26" t="s">
        <v>25</v>
      </c>
      <c r="CC33" s="136"/>
      <c r="CJ33" s="338" t="s">
        <v>17</v>
      </c>
      <c r="CK33" s="340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4">
        <v>3292151</v>
      </c>
      <c r="D34" s="137">
        <f t="shared" si="0"/>
        <v>2.363</v>
      </c>
      <c r="E34" s="139">
        <v>5.4</v>
      </c>
      <c r="F34" s="140">
        <v>0.8</v>
      </c>
      <c r="G34" s="81" t="str">
        <f t="shared" si="1"/>
        <v>0.00</v>
      </c>
      <c r="H34" s="84">
        <v>1500</v>
      </c>
      <c r="I34" s="85">
        <v>3000</v>
      </c>
      <c r="K34" s="86" t="s">
        <v>213</v>
      </c>
      <c r="L34" s="84">
        <v>47</v>
      </c>
      <c r="M34" s="87">
        <v>0.92</v>
      </c>
      <c r="O34" s="106"/>
      <c r="Q34" s="107" t="s">
        <v>14</v>
      </c>
      <c r="R34" s="152" t="s">
        <v>14</v>
      </c>
      <c r="S34" s="108" t="s">
        <v>14</v>
      </c>
      <c r="U34" s="92">
        <v>7.2</v>
      </c>
      <c r="V34" s="93">
        <v>7.04</v>
      </c>
      <c r="W34" s="94">
        <v>6.1</v>
      </c>
      <c r="Y34" s="89">
        <v>12.8</v>
      </c>
      <c r="Z34" s="95">
        <v>12.3</v>
      </c>
      <c r="AA34" s="91">
        <v>12.4</v>
      </c>
      <c r="AC34" s="92">
        <v>5</v>
      </c>
      <c r="AD34" s="90">
        <v>0.01</v>
      </c>
      <c r="AE34" s="96">
        <v>0</v>
      </c>
      <c r="AG34" s="45">
        <f t="shared" si="2"/>
        <v>23</v>
      </c>
      <c r="AH34" s="281"/>
      <c r="AI34" s="97">
        <v>240</v>
      </c>
      <c r="AJ34" s="55">
        <f t="shared" si="3"/>
        <v>4729.7807999999995</v>
      </c>
      <c r="AK34" s="97"/>
      <c r="AL34" s="55">
        <f t="shared" si="4"/>
      </c>
      <c r="AM34" s="97">
        <v>17</v>
      </c>
      <c r="AN34" s="55">
        <f t="shared" si="5"/>
        <v>335.02614</v>
      </c>
      <c r="AO34" s="109">
        <v>12</v>
      </c>
      <c r="AQ34" s="99">
        <v>180</v>
      </c>
      <c r="AR34" s="55">
        <f t="shared" si="6"/>
        <v>3547.3356</v>
      </c>
      <c r="AS34" s="97"/>
      <c r="AT34" s="55">
        <f t="shared" si="7"/>
      </c>
      <c r="AU34" s="97">
        <v>23</v>
      </c>
      <c r="AV34" s="55">
        <f t="shared" si="8"/>
        <v>453.27065999999996</v>
      </c>
      <c r="AX34" s="99">
        <v>55775</v>
      </c>
      <c r="AY34" s="100">
        <v>2</v>
      </c>
      <c r="AZ34" s="101">
        <v>3.75</v>
      </c>
      <c r="BA34" s="97">
        <v>31</v>
      </c>
      <c r="BB34" s="101">
        <v>31</v>
      </c>
      <c r="BC34" s="97">
        <v>24</v>
      </c>
      <c r="BD34" s="97">
        <v>1687.5</v>
      </c>
      <c r="BE34" s="102">
        <v>12.37</v>
      </c>
      <c r="BG34" s="99">
        <v>24</v>
      </c>
      <c r="BH34" s="83" t="s">
        <v>223</v>
      </c>
      <c r="BI34" s="103" t="s">
        <v>226</v>
      </c>
      <c r="BK34" s="17"/>
      <c r="BL34" s="19"/>
      <c r="BM34" s="26" t="s">
        <v>86</v>
      </c>
      <c r="BN34" s="20"/>
      <c r="BO34" s="153" t="s">
        <v>131</v>
      </c>
      <c r="BP34" s="26"/>
      <c r="BQ34" s="274">
        <v>3.85</v>
      </c>
      <c r="BR34" s="154" t="s">
        <v>146</v>
      </c>
      <c r="BS34" s="154" t="s">
        <v>127</v>
      </c>
      <c r="BT34" s="26"/>
      <c r="BU34" s="269" t="s">
        <v>150</v>
      </c>
      <c r="BV34" s="269" t="s">
        <v>150</v>
      </c>
      <c r="BW34" s="269" t="s">
        <v>150</v>
      </c>
      <c r="BX34" s="269" t="s">
        <v>150</v>
      </c>
      <c r="BY34" s="26"/>
      <c r="BZ34" s="269" t="s">
        <v>150</v>
      </c>
      <c r="CA34" s="275" t="s">
        <v>24</v>
      </c>
      <c r="CB34" s="154" t="s">
        <v>25</v>
      </c>
      <c r="CC34" s="136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4">
        <v>3295098</v>
      </c>
      <c r="D35" s="137">
        <f t="shared" si="0"/>
        <v>2.947</v>
      </c>
      <c r="E35" s="139">
        <v>4</v>
      </c>
      <c r="F35" s="140">
        <v>0.7</v>
      </c>
      <c r="G35" s="81" t="str">
        <f t="shared" si="1"/>
        <v>0.00</v>
      </c>
      <c r="H35" s="84">
        <v>0</v>
      </c>
      <c r="I35" s="85">
        <v>0</v>
      </c>
      <c r="K35" s="86" t="s">
        <v>209</v>
      </c>
      <c r="L35" s="84">
        <v>35</v>
      </c>
      <c r="M35" s="87">
        <v>0.02</v>
      </c>
      <c r="O35" s="106"/>
      <c r="Q35" s="107"/>
      <c r="R35" s="152"/>
      <c r="S35" s="108"/>
      <c r="U35" s="92">
        <v>7.08</v>
      </c>
      <c r="V35" s="93">
        <v>7.03</v>
      </c>
      <c r="W35" s="94">
        <v>6.78</v>
      </c>
      <c r="Y35" s="89">
        <v>12.2</v>
      </c>
      <c r="Z35" s="95">
        <v>11.8</v>
      </c>
      <c r="AA35" s="91">
        <v>12.3</v>
      </c>
      <c r="AC35" s="92">
        <v>4</v>
      </c>
      <c r="AD35" s="90">
        <v>0.01</v>
      </c>
      <c r="AE35" s="96">
        <v>0</v>
      </c>
      <c r="AG35" s="45">
        <f t="shared" si="2"/>
        <v>24</v>
      </c>
      <c r="AH35" s="281"/>
      <c r="AI35" s="97"/>
      <c r="AJ35" s="55">
        <f t="shared" si="3"/>
      </c>
      <c r="AK35" s="97"/>
      <c r="AL35" s="55">
        <f t="shared" si="4"/>
      </c>
      <c r="AM35" s="97"/>
      <c r="AN35" s="55">
        <f t="shared" si="5"/>
      </c>
      <c r="AO35" s="109"/>
      <c r="AQ35" s="99"/>
      <c r="AR35" s="55">
        <f t="shared" si="6"/>
      </c>
      <c r="AS35" s="97"/>
      <c r="AT35" s="55">
        <f t="shared" si="7"/>
      </c>
      <c r="AU35" s="97"/>
      <c r="AV35" s="55">
        <f t="shared" si="8"/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2">
        <v>3297612</v>
      </c>
      <c r="D36" s="138">
        <f t="shared" si="0"/>
        <v>2.514</v>
      </c>
      <c r="E36" s="141">
        <v>3.6</v>
      </c>
      <c r="F36" s="142">
        <v>0.6</v>
      </c>
      <c r="G36" s="183" t="str">
        <f t="shared" si="1"/>
        <v>0.00</v>
      </c>
      <c r="H36" s="112">
        <v>0</v>
      </c>
      <c r="I36" s="113">
        <v>0</v>
      </c>
      <c r="K36" s="114" t="s">
        <v>209</v>
      </c>
      <c r="L36" s="112">
        <v>23</v>
      </c>
      <c r="M36" s="115">
        <v>0</v>
      </c>
      <c r="O36" s="116"/>
      <c r="Q36" s="107" t="s">
        <v>12</v>
      </c>
      <c r="R36" s="152" t="s">
        <v>12</v>
      </c>
      <c r="S36" s="108" t="s">
        <v>12</v>
      </c>
      <c r="U36" s="117">
        <v>7.06</v>
      </c>
      <c r="V36" s="118">
        <v>7.12</v>
      </c>
      <c r="W36" s="119">
        <v>7.09</v>
      </c>
      <c r="Y36" s="120">
        <v>11.9</v>
      </c>
      <c r="Z36" s="121">
        <v>11.7</v>
      </c>
      <c r="AA36" s="122">
        <v>11.5</v>
      </c>
      <c r="AC36" s="117">
        <v>2</v>
      </c>
      <c r="AD36" s="123">
        <v>0.01</v>
      </c>
      <c r="AE36" s="124">
        <v>0</v>
      </c>
      <c r="AG36" s="45">
        <f t="shared" si="2"/>
        <v>25</v>
      </c>
      <c r="AH36" s="281"/>
      <c r="AI36" s="125"/>
      <c r="AJ36" s="65">
        <f t="shared" si="3"/>
      </c>
      <c r="AK36" s="125"/>
      <c r="AL36" s="65">
        <f t="shared" si="4"/>
      </c>
      <c r="AM36" s="125"/>
      <c r="AN36" s="65">
        <f t="shared" si="5"/>
      </c>
      <c r="AO36" s="126"/>
      <c r="AQ36" s="127"/>
      <c r="AR36" s="65">
        <f t="shared" si="6"/>
      </c>
      <c r="AS36" s="125"/>
      <c r="AT36" s="65">
        <f t="shared" si="7"/>
      </c>
      <c r="AU36" s="125"/>
      <c r="AV36" s="65">
        <f t="shared" si="8"/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4">
        <v>3299814</v>
      </c>
      <c r="D37" s="137">
        <f t="shared" si="0"/>
        <v>2.202</v>
      </c>
      <c r="E37" s="139">
        <v>3.8</v>
      </c>
      <c r="F37" s="140">
        <v>0.7</v>
      </c>
      <c r="G37" s="81" t="str">
        <f t="shared" si="1"/>
        <v>0.00</v>
      </c>
      <c r="H37" s="84">
        <v>0</v>
      </c>
      <c r="I37" s="85">
        <v>0</v>
      </c>
      <c r="K37" s="86" t="s">
        <v>230</v>
      </c>
      <c r="L37" s="84">
        <v>18</v>
      </c>
      <c r="M37" s="87">
        <v>0</v>
      </c>
      <c r="O37" s="106"/>
      <c r="Q37" s="107"/>
      <c r="R37" s="152"/>
      <c r="S37" s="108"/>
      <c r="U37" s="92">
        <v>6.91</v>
      </c>
      <c r="V37" s="93">
        <v>7.06</v>
      </c>
      <c r="W37" s="94">
        <v>6.88</v>
      </c>
      <c r="Y37" s="89">
        <v>11.4</v>
      </c>
      <c r="Z37" s="95">
        <v>11</v>
      </c>
      <c r="AA37" s="91">
        <v>10.3</v>
      </c>
      <c r="AC37" s="92">
        <v>3</v>
      </c>
      <c r="AD37" s="90">
        <v>0</v>
      </c>
      <c r="AE37" s="96">
        <v>0</v>
      </c>
      <c r="AG37" s="45">
        <f t="shared" si="2"/>
        <v>26</v>
      </c>
      <c r="AH37" s="281"/>
      <c r="AI37" s="97"/>
      <c r="AJ37" s="55">
        <f t="shared" si="3"/>
      </c>
      <c r="AK37" s="97"/>
      <c r="AL37" s="55">
        <f t="shared" si="4"/>
      </c>
      <c r="AM37" s="97"/>
      <c r="AN37" s="55">
        <f t="shared" si="5"/>
      </c>
      <c r="AO37" s="109"/>
      <c r="AQ37" s="99"/>
      <c r="AR37" s="55">
        <f t="shared" si="6"/>
      </c>
      <c r="AS37" s="97"/>
      <c r="AT37" s="55">
        <f t="shared" si="7"/>
      </c>
      <c r="AU37" s="97"/>
      <c r="AV37" s="55">
        <f t="shared" si="8"/>
      </c>
      <c r="AX37" s="99"/>
      <c r="AY37" s="100"/>
      <c r="AZ37" s="101"/>
      <c r="BA37" s="97"/>
      <c r="BB37" s="101"/>
      <c r="BC37" s="97"/>
      <c r="BD37" s="97"/>
      <c r="BE37" s="102"/>
      <c r="BG37" s="99"/>
      <c r="BH37" s="83"/>
      <c r="BI37" s="103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8">
        <f>(IF(((SUM(AJ12:AJ42))=0)," ",(((AJ47-(D47*AO47*8.346))/AJ47)*100)))</f>
        <v>95.76697931421454</v>
      </c>
      <c r="CK37" s="349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4">
        <v>3302205</v>
      </c>
      <c r="D38" s="137">
        <f t="shared" si="0"/>
        <v>2.391</v>
      </c>
      <c r="E38" s="139">
        <v>4</v>
      </c>
      <c r="F38" s="140">
        <v>0.8</v>
      </c>
      <c r="G38" s="81" t="str">
        <f t="shared" si="1"/>
        <v>0.00</v>
      </c>
      <c r="H38" s="84">
        <v>1400</v>
      </c>
      <c r="I38" s="85">
        <v>1500</v>
      </c>
      <c r="K38" s="86" t="s">
        <v>214</v>
      </c>
      <c r="L38" s="84">
        <v>14</v>
      </c>
      <c r="M38" s="87">
        <v>0</v>
      </c>
      <c r="O38" s="106"/>
      <c r="Q38" s="107" t="s">
        <v>10</v>
      </c>
      <c r="R38" s="152" t="s">
        <v>10</v>
      </c>
      <c r="S38" s="108" t="s">
        <v>10</v>
      </c>
      <c r="U38" s="92">
        <v>7.19</v>
      </c>
      <c r="V38" s="93">
        <v>7.12</v>
      </c>
      <c r="W38" s="94">
        <v>6.71</v>
      </c>
      <c r="Y38" s="89">
        <v>12.3</v>
      </c>
      <c r="Z38" s="95">
        <v>10.6</v>
      </c>
      <c r="AA38" s="91">
        <v>9.3</v>
      </c>
      <c r="AC38" s="92">
        <v>7</v>
      </c>
      <c r="AD38" s="90">
        <v>0.01</v>
      </c>
      <c r="AE38" s="96">
        <v>0</v>
      </c>
      <c r="AG38" s="45">
        <f t="shared" si="2"/>
        <v>27</v>
      </c>
      <c r="AH38" s="281"/>
      <c r="AI38" s="97"/>
      <c r="AJ38" s="55">
        <f t="shared" si="3"/>
      </c>
      <c r="AK38" s="97"/>
      <c r="AL38" s="55">
        <f t="shared" si="4"/>
      </c>
      <c r="AM38" s="97"/>
      <c r="AN38" s="55">
        <f t="shared" si="5"/>
      </c>
      <c r="AO38" s="109"/>
      <c r="AQ38" s="99"/>
      <c r="AR38" s="55">
        <f t="shared" si="6"/>
      </c>
      <c r="AS38" s="97"/>
      <c r="AT38" s="55">
        <f t="shared" si="7"/>
      </c>
      <c r="AU38" s="97"/>
      <c r="AV38" s="55">
        <f t="shared" si="8"/>
      </c>
      <c r="AX38" s="99">
        <v>56140</v>
      </c>
      <c r="AY38" s="100">
        <v>2</v>
      </c>
      <c r="AZ38" s="101">
        <v>3</v>
      </c>
      <c r="BA38" s="97">
        <v>34.1</v>
      </c>
      <c r="BB38" s="101">
        <v>31</v>
      </c>
      <c r="BC38" s="97">
        <v>12</v>
      </c>
      <c r="BD38" s="97">
        <v>1170</v>
      </c>
      <c r="BE38" s="102">
        <v>12.41</v>
      </c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71" t="s">
        <v>150</v>
      </c>
      <c r="BR38" s="271" t="s">
        <v>150</v>
      </c>
      <c r="BS38" s="271" t="s">
        <v>150</v>
      </c>
      <c r="BT38" s="26"/>
      <c r="BU38" s="68">
        <f>(AN49)</f>
        <v>93.20723670287063</v>
      </c>
      <c r="BV38" s="271" t="s">
        <v>150</v>
      </c>
      <c r="BW38" s="271" t="s">
        <v>150</v>
      </c>
      <c r="BX38" s="26" t="s">
        <v>129</v>
      </c>
      <c r="BY38" s="26"/>
      <c r="BZ38" s="26">
        <v>0</v>
      </c>
      <c r="CA38" s="266" t="s">
        <v>49</v>
      </c>
      <c r="CB38" s="26" t="s">
        <v>26</v>
      </c>
      <c r="CC38" s="136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4">
        <v>3304634</v>
      </c>
      <c r="D39" s="137">
        <f t="shared" si="0"/>
        <v>2.429</v>
      </c>
      <c r="E39" s="139">
        <v>4</v>
      </c>
      <c r="F39" s="140">
        <v>0.6</v>
      </c>
      <c r="G39" s="81" t="str">
        <f t="shared" si="1"/>
        <v>0.00</v>
      </c>
      <c r="H39" s="84">
        <v>1700</v>
      </c>
      <c r="I39" s="85">
        <v>6500</v>
      </c>
      <c r="K39" s="86" t="s">
        <v>209</v>
      </c>
      <c r="L39" s="84">
        <v>17</v>
      </c>
      <c r="M39" s="87">
        <v>0</v>
      </c>
      <c r="O39" s="106"/>
      <c r="Q39" s="107"/>
      <c r="R39" s="152"/>
      <c r="S39" s="108"/>
      <c r="U39" s="92">
        <v>7.09</v>
      </c>
      <c r="V39" s="93">
        <v>7.09</v>
      </c>
      <c r="W39" s="94">
        <v>6.91</v>
      </c>
      <c r="Y39" s="89">
        <v>11.7</v>
      </c>
      <c r="Z39" s="95">
        <v>10.5</v>
      </c>
      <c r="AA39" s="91">
        <v>9.5</v>
      </c>
      <c r="AC39" s="92">
        <v>4</v>
      </c>
      <c r="AD39" s="90">
        <v>0</v>
      </c>
      <c r="AE39" s="96">
        <v>0</v>
      </c>
      <c r="AG39" s="45">
        <f t="shared" si="2"/>
        <v>28</v>
      </c>
      <c r="AH39" s="281"/>
      <c r="AI39" s="97">
        <v>213</v>
      </c>
      <c r="AJ39" s="55">
        <f t="shared" si="3"/>
        <v>4314.92418</v>
      </c>
      <c r="AK39" s="97"/>
      <c r="AL39" s="55">
        <f t="shared" si="4"/>
      </c>
      <c r="AM39" s="97">
        <v>11</v>
      </c>
      <c r="AN39" s="55">
        <f t="shared" si="5"/>
        <v>222.83646</v>
      </c>
      <c r="AO39" s="109">
        <v>8</v>
      </c>
      <c r="AQ39" s="99">
        <v>246</v>
      </c>
      <c r="AR39" s="55">
        <f t="shared" si="6"/>
        <v>4983.4335599999995</v>
      </c>
      <c r="AS39" s="97"/>
      <c r="AT39" s="55">
        <f t="shared" si="7"/>
      </c>
      <c r="AU39" s="97">
        <v>17</v>
      </c>
      <c r="AV39" s="55">
        <f t="shared" si="8"/>
        <v>344.38362</v>
      </c>
      <c r="AX39" s="99"/>
      <c r="AY39" s="100"/>
      <c r="AZ39" s="101"/>
      <c r="BA39" s="97"/>
      <c r="BB39" s="101"/>
      <c r="BC39" s="97"/>
      <c r="BD39" s="97"/>
      <c r="BE39" s="102"/>
      <c r="BG39" s="99">
        <v>12</v>
      </c>
      <c r="BH39" s="83" t="s">
        <v>223</v>
      </c>
      <c r="BI39" s="103" t="s">
        <v>226</v>
      </c>
      <c r="BK39" s="17"/>
      <c r="BL39" s="19"/>
      <c r="BM39" s="26" t="s">
        <v>118</v>
      </c>
      <c r="BN39" s="20"/>
      <c r="BO39" s="153" t="s">
        <v>131</v>
      </c>
      <c r="BP39" s="26"/>
      <c r="BQ39" s="269" t="s">
        <v>150</v>
      </c>
      <c r="BR39" s="269" t="s">
        <v>150</v>
      </c>
      <c r="BS39" s="269" t="s">
        <v>150</v>
      </c>
      <c r="BT39" s="26"/>
      <c r="BU39" s="272">
        <v>85</v>
      </c>
      <c r="BV39" s="269" t="s">
        <v>150</v>
      </c>
      <c r="BW39" s="269" t="s">
        <v>150</v>
      </c>
      <c r="BX39" s="154" t="s">
        <v>129</v>
      </c>
      <c r="BY39" s="26"/>
      <c r="BZ39" s="269" t="s">
        <v>150</v>
      </c>
      <c r="CA39" s="270" t="s">
        <v>49</v>
      </c>
      <c r="CB39" s="154" t="s">
        <v>26</v>
      </c>
      <c r="CC39" s="136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4">
        <v>3307031</v>
      </c>
      <c r="D40" s="137">
        <f t="shared" si="0"/>
        <v>2.397</v>
      </c>
      <c r="E40" s="139">
        <v>4.1</v>
      </c>
      <c r="F40" s="140">
        <v>0.6</v>
      </c>
      <c r="G40" s="81" t="str">
        <f t="shared" si="1"/>
        <v>0.00</v>
      </c>
      <c r="H40" s="84">
        <v>2600</v>
      </c>
      <c r="I40" s="85">
        <v>7500</v>
      </c>
      <c r="K40" s="86" t="s">
        <v>208</v>
      </c>
      <c r="L40" s="84">
        <v>29</v>
      </c>
      <c r="M40" s="87">
        <v>0</v>
      </c>
      <c r="O40" s="106"/>
      <c r="Q40" s="107" t="s">
        <v>15</v>
      </c>
      <c r="R40" s="152" t="s">
        <v>15</v>
      </c>
      <c r="S40" s="108" t="s">
        <v>15</v>
      </c>
      <c r="U40" s="92">
        <v>7.04</v>
      </c>
      <c r="V40" s="93">
        <v>7.03</v>
      </c>
      <c r="W40" s="94">
        <v>6.98</v>
      </c>
      <c r="Y40" s="89">
        <v>12</v>
      </c>
      <c r="Z40" s="95">
        <v>11.4</v>
      </c>
      <c r="AA40" s="91">
        <v>11.1</v>
      </c>
      <c r="AC40" s="92">
        <v>7</v>
      </c>
      <c r="AD40" s="90">
        <v>0.1</v>
      </c>
      <c r="AE40" s="96">
        <v>0.01</v>
      </c>
      <c r="AG40" s="45">
        <f t="shared" si="2"/>
        <v>29</v>
      </c>
      <c r="AH40" s="281"/>
      <c r="AI40" s="97">
        <v>227</v>
      </c>
      <c r="AJ40" s="55">
        <f t="shared" si="3"/>
        <v>4537.9524599999995</v>
      </c>
      <c r="AK40" s="97"/>
      <c r="AL40" s="55">
        <f t="shared" si="4"/>
      </c>
      <c r="AM40" s="97">
        <v>27</v>
      </c>
      <c r="AN40" s="55">
        <f t="shared" si="5"/>
        <v>539.75646</v>
      </c>
      <c r="AO40" s="109">
        <v>10</v>
      </c>
      <c r="AQ40" s="99">
        <v>266</v>
      </c>
      <c r="AR40" s="55">
        <f t="shared" si="6"/>
        <v>5317.60068</v>
      </c>
      <c r="AS40" s="97"/>
      <c r="AT40" s="55">
        <f t="shared" si="7"/>
      </c>
      <c r="AU40" s="97">
        <v>25</v>
      </c>
      <c r="AV40" s="55">
        <f t="shared" si="8"/>
        <v>499.7745</v>
      </c>
      <c r="AX40" s="99"/>
      <c r="AY40" s="100"/>
      <c r="AZ40" s="101"/>
      <c r="BA40" s="97"/>
      <c r="BB40" s="101"/>
      <c r="BC40" s="97"/>
      <c r="BD40" s="97"/>
      <c r="BE40" s="102"/>
      <c r="BG40" s="99"/>
      <c r="BH40" s="83"/>
      <c r="BI40" s="103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4">
        <v>3309429</v>
      </c>
      <c r="D41" s="137">
        <f t="shared" si="0"/>
        <v>2.398</v>
      </c>
      <c r="E41" s="139">
        <v>4</v>
      </c>
      <c r="F41" s="140">
        <v>0.6</v>
      </c>
      <c r="G41" s="81" t="str">
        <f t="shared" si="1"/>
        <v>0.00</v>
      </c>
      <c r="H41" s="84">
        <v>4350</v>
      </c>
      <c r="I41" s="85">
        <v>4500</v>
      </c>
      <c r="K41" s="86" t="s">
        <v>209</v>
      </c>
      <c r="L41" s="84">
        <v>22</v>
      </c>
      <c r="M41" s="87">
        <v>0</v>
      </c>
      <c r="O41" s="106"/>
      <c r="Q41" s="107"/>
      <c r="R41" s="152"/>
      <c r="S41" s="108"/>
      <c r="U41" s="92">
        <v>7.22</v>
      </c>
      <c r="V41" s="93">
        <v>7.09</v>
      </c>
      <c r="W41" s="94">
        <v>6.64</v>
      </c>
      <c r="Y41" s="89">
        <v>12.2</v>
      </c>
      <c r="Z41" s="95">
        <v>11.3</v>
      </c>
      <c r="AA41" s="91">
        <v>10.8</v>
      </c>
      <c r="AC41" s="92">
        <v>5</v>
      </c>
      <c r="AD41" s="90">
        <v>0.1</v>
      </c>
      <c r="AE41" s="96">
        <v>0.01</v>
      </c>
      <c r="AG41" s="45">
        <f t="shared" si="2"/>
        <v>30</v>
      </c>
      <c r="AH41" s="281"/>
      <c r="AI41" s="97">
        <v>216</v>
      </c>
      <c r="AJ41" s="55">
        <f t="shared" si="3"/>
        <v>4319.853120000001</v>
      </c>
      <c r="AK41" s="97">
        <v>151</v>
      </c>
      <c r="AL41" s="55">
        <f t="shared" si="4"/>
        <v>3019.89732</v>
      </c>
      <c r="AM41" s="97">
        <v>16</v>
      </c>
      <c r="AN41" s="55">
        <f t="shared" si="5"/>
        <v>319.98912</v>
      </c>
      <c r="AO41" s="109">
        <v>9</v>
      </c>
      <c r="AQ41" s="99">
        <v>230</v>
      </c>
      <c r="AR41" s="55">
        <f t="shared" si="6"/>
        <v>4599.8436</v>
      </c>
      <c r="AS41" s="97">
        <v>120</v>
      </c>
      <c r="AT41" s="55">
        <f t="shared" si="7"/>
        <v>2399.9184</v>
      </c>
      <c r="AU41" s="97">
        <v>28</v>
      </c>
      <c r="AV41" s="55">
        <f t="shared" si="8"/>
        <v>559.98096</v>
      </c>
      <c r="AX41" s="99">
        <v>64796</v>
      </c>
      <c r="AY41" s="100">
        <v>4</v>
      </c>
      <c r="AZ41" s="101">
        <v>4</v>
      </c>
      <c r="BA41" s="97">
        <v>40.3</v>
      </c>
      <c r="BB41" s="101">
        <v>34</v>
      </c>
      <c r="BC41" s="97">
        <v>24</v>
      </c>
      <c r="BD41" s="97">
        <v>1800</v>
      </c>
      <c r="BE41" s="102">
        <v>12.36</v>
      </c>
      <c r="BG41" s="99">
        <v>24</v>
      </c>
      <c r="BH41" s="83" t="s">
        <v>223</v>
      </c>
      <c r="BI41" s="103" t="s">
        <v>226</v>
      </c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2">
        <v>3311746</v>
      </c>
      <c r="D42" s="138">
        <f t="shared" si="0"/>
        <v>2.317</v>
      </c>
      <c r="E42" s="141">
        <v>3.8</v>
      </c>
      <c r="F42" s="142">
        <v>0.6</v>
      </c>
      <c r="G42" s="183" t="str">
        <f t="shared" si="1"/>
        <v>0.00</v>
      </c>
      <c r="H42" s="112">
        <v>0</v>
      </c>
      <c r="I42" s="113">
        <v>2000</v>
      </c>
      <c r="K42" s="114" t="s">
        <v>208</v>
      </c>
      <c r="L42" s="112">
        <v>34</v>
      </c>
      <c r="M42" s="115">
        <v>0.03</v>
      </c>
      <c r="O42" s="116"/>
      <c r="Q42" s="132"/>
      <c r="R42" s="111"/>
      <c r="S42" s="113"/>
      <c r="U42" s="133">
        <v>6.97</v>
      </c>
      <c r="V42" s="134">
        <v>7.06</v>
      </c>
      <c r="W42" s="135">
        <v>6.91</v>
      </c>
      <c r="Y42" s="132">
        <v>11.6</v>
      </c>
      <c r="Z42" s="112">
        <v>11.2</v>
      </c>
      <c r="AA42" s="113">
        <v>10.9</v>
      </c>
      <c r="AC42" s="133">
        <v>2.5</v>
      </c>
      <c r="AD42" s="111">
        <v>0.1</v>
      </c>
      <c r="AE42" s="115">
        <v>0.01</v>
      </c>
      <c r="AG42" s="45">
        <f t="shared" si="2"/>
        <v>31</v>
      </c>
      <c r="AH42" s="281"/>
      <c r="AI42" s="125"/>
      <c r="AJ42" s="65">
        <f t="shared" si="3"/>
      </c>
      <c r="AK42" s="125"/>
      <c r="AL42" s="65">
        <f t="shared" si="4"/>
      </c>
      <c r="AM42" s="125"/>
      <c r="AN42" s="65">
        <f t="shared" si="5"/>
      </c>
      <c r="AO42" s="126"/>
      <c r="AQ42" s="127"/>
      <c r="AR42" s="65">
        <f t="shared" si="6"/>
      </c>
      <c r="AS42" s="125"/>
      <c r="AT42" s="65">
        <f t="shared" si="7"/>
      </c>
      <c r="AU42" s="125"/>
      <c r="AV42" s="65">
        <f t="shared" si="8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1" t="s">
        <v>150</v>
      </c>
      <c r="BR43" s="271" t="s">
        <v>150</v>
      </c>
      <c r="BS43" s="271" t="s">
        <v>150</v>
      </c>
      <c r="BT43" s="26"/>
      <c r="BU43" s="68">
        <f>(AU49)</f>
        <v>90.75704225352112</v>
      </c>
      <c r="BV43" s="271" t="s">
        <v>150</v>
      </c>
      <c r="BW43" s="271" t="s">
        <v>150</v>
      </c>
      <c r="BX43" s="26" t="s">
        <v>129</v>
      </c>
      <c r="BY43" s="26"/>
      <c r="BZ43" s="26">
        <v>0</v>
      </c>
      <c r="CA43" s="266" t="s">
        <v>49</v>
      </c>
      <c r="CB43" s="26" t="s">
        <v>26</v>
      </c>
      <c r="CC43" s="136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8">
        <f>(IF(((SUM(C12:C42))=0)," ",((MAX(C12:C42))-C11)))</f>
        <v>80993</v>
      </c>
      <c r="D44" s="227">
        <f>(IF(((SUM(D12:D42))=0)," ",(SUM(D12:D42))))</f>
        <v>80.993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44250</v>
      </c>
      <c r="I44" s="195">
        <f>(IF(((SUM(I12:I42))=0)," ",(SUM(I12:I42))))</f>
        <v>93000</v>
      </c>
      <c r="K44" s="199" t="s">
        <v>150</v>
      </c>
      <c r="L44" s="200" t="s">
        <v>150</v>
      </c>
      <c r="M44" s="201">
        <f>(IF(((SUM(M12:M42))=0)," ",(SUM(M11:M42))))</f>
        <v>3.5799999999999987</v>
      </c>
      <c r="O44" s="202" t="str">
        <f>(IF(((SUM(O12:O42))=0),"0.0",(SUM(O11:O42))))</f>
        <v>0.0</v>
      </c>
      <c r="Q44" s="198" t="str">
        <f>(IF(((SUM(Q12:Q42))=0),"0",(SUM(Q11:Q42))))</f>
        <v>0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512501</v>
      </c>
      <c r="AY44" s="200" t="s">
        <v>150</v>
      </c>
      <c r="AZ44" s="211">
        <f>(IF(((SUM(AZ12:AZ42))=0)," ",(SUM(AZ12:AZ42))))</f>
        <v>32</v>
      </c>
      <c r="BA44" s="198">
        <f>(IF(((SUM(BA12:BA42))=0)," ",(SUM(BA12:BA42))))</f>
        <v>313.1</v>
      </c>
      <c r="BB44" s="206" t="s">
        <v>150</v>
      </c>
      <c r="BC44" s="198">
        <f>(IF(((SUM(BC12:BC42))=0)," ",(SUM(BC12:BC42))))</f>
        <v>204</v>
      </c>
      <c r="BD44" s="188">
        <f>(IF(((SUM(BD12:BD42))=0)," ",(SUM(BD12:BD42))))</f>
        <v>14220</v>
      </c>
      <c r="BE44" s="209" t="s">
        <v>150</v>
      </c>
      <c r="BG44" s="198">
        <f>(IF(((SUM(BG12:BG42))=0)," ",(SUM(BG12:BG42))))</f>
        <v>204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69" t="s">
        <v>150</v>
      </c>
      <c r="BR44" s="269" t="s">
        <v>150</v>
      </c>
      <c r="BS44" s="269" t="s">
        <v>150</v>
      </c>
      <c r="BT44" s="26"/>
      <c r="BU44" s="272">
        <v>85</v>
      </c>
      <c r="BV44" s="269" t="s">
        <v>150</v>
      </c>
      <c r="BW44" s="269" t="s">
        <v>150</v>
      </c>
      <c r="BX44" s="154" t="s">
        <v>129</v>
      </c>
      <c r="BY44" s="26"/>
      <c r="BZ44" s="269" t="s">
        <v>150</v>
      </c>
      <c r="CA44" s="270" t="s">
        <v>49</v>
      </c>
      <c r="CB44" s="154" t="s">
        <v>26</v>
      </c>
      <c r="CC44" s="136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3.266</v>
      </c>
      <c r="E45" s="215">
        <f>(IF((SUM(E12:E42))=0," ",(MAX(E12:E42))))</f>
        <v>5.8</v>
      </c>
      <c r="F45" s="216">
        <f>(IF((SUM(F12:F42))=0," ",(MAX(F12:F42))))</f>
        <v>0.9</v>
      </c>
      <c r="G45" s="215">
        <f>(MAX(G12:G42))</f>
        <v>0</v>
      </c>
      <c r="H45" s="161">
        <f>(IF((SUM(H12:H42))=0," ",(MAX(H12:H42))))</f>
        <v>6450</v>
      </c>
      <c r="I45" s="162">
        <f>(IF((SUM(I12:I42))=0," ",(MAX(I12:I42))))</f>
        <v>9250</v>
      </c>
      <c r="K45" s="179" t="s">
        <v>150</v>
      </c>
      <c r="L45" s="182">
        <f>(IF((SUM(L12:L42))=0," ",(MAX(L12:L42))))</f>
        <v>47</v>
      </c>
      <c r="M45" s="218">
        <f>(IF((SUM(M12:M42))=0," ",(MAX(M12:M42))))</f>
        <v>0.92</v>
      </c>
      <c r="O45" s="219" t="s">
        <v>150</v>
      </c>
      <c r="Q45" s="220" t="s">
        <v>150</v>
      </c>
      <c r="R45" s="183" t="str">
        <f>(IF(((SUM(R12:R42))=0),"-",(MAX(R12:R42))))</f>
        <v>-</v>
      </c>
      <c r="S45" s="162" t="str">
        <f>(IF(((SUM(S12:S42))=0),"-",(MAX(S12:S42))))</f>
        <v>-</v>
      </c>
      <c r="U45" s="221">
        <f>(IF((SUM(U12:U42))=0," ",(MAX(U12:U42))))</f>
        <v>7.28</v>
      </c>
      <c r="V45" s="182">
        <f>(IF((SUM(V12:V42))=0," ",(MAX(V12:V42))))</f>
        <v>7.16</v>
      </c>
      <c r="W45" s="222">
        <f>(IF((SUM(W12:W42))=0," ",(MAX(W12:W42))))</f>
        <v>7.16</v>
      </c>
      <c r="Y45" s="217">
        <f>(IF((SUM(Y12:Y42))=0," ",(MAX(Y12:Y42))))</f>
        <v>14.3</v>
      </c>
      <c r="Z45" s="161">
        <f>(IF((SUM(Z12:Z42))=0," ",(MAX(Z12:Z42))))</f>
        <v>14.3</v>
      </c>
      <c r="AA45" s="162">
        <f>(IF((SUM(AA12:AA42))=0," ",(MAX(AA12:AA42))))</f>
        <v>14.5</v>
      </c>
      <c r="AC45" s="221">
        <f>(IF((SUM(AC12:AC42))=0," ",(MAX(AC12:AC42))))</f>
        <v>12</v>
      </c>
      <c r="AD45" s="183">
        <f>(IF((SUM(AD12:AD42))=0," ",(MAX(AD12:AD42))))</f>
        <v>1.5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299</v>
      </c>
      <c r="AJ45" s="161">
        <f t="shared" si="9"/>
        <v>6210.36432</v>
      </c>
      <c r="AK45" s="217">
        <f t="shared" si="9"/>
        <v>165</v>
      </c>
      <c r="AL45" s="162">
        <f t="shared" si="9"/>
        <v>3980.5152000000003</v>
      </c>
      <c r="AM45" s="217">
        <f t="shared" si="9"/>
        <v>27</v>
      </c>
      <c r="AN45" s="162">
        <f t="shared" si="9"/>
        <v>539.75646</v>
      </c>
      <c r="AO45" s="223">
        <f t="shared" si="9"/>
        <v>12</v>
      </c>
      <c r="AQ45" s="217">
        <f aca="true" t="shared" si="10" ref="AQ45:AV45">(IF((SUM(AQ12:AQ42))=0," ",(MAX(AQ12:AQ42))))</f>
        <v>282</v>
      </c>
      <c r="AR45" s="162">
        <f t="shared" si="10"/>
        <v>6155.8874399999995</v>
      </c>
      <c r="AS45" s="217">
        <f t="shared" si="10"/>
        <v>120</v>
      </c>
      <c r="AT45" s="162">
        <f t="shared" si="10"/>
        <v>2399.9184</v>
      </c>
      <c r="AU45" s="217">
        <f t="shared" si="10"/>
        <v>28</v>
      </c>
      <c r="AV45" s="162">
        <f t="shared" si="10"/>
        <v>579.38814</v>
      </c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34</v>
      </c>
      <c r="BC45" s="220" t="s">
        <v>150</v>
      </c>
      <c r="BD45" s="178" t="s">
        <v>150</v>
      </c>
      <c r="BE45" s="218">
        <f>(IF((SUM(BE12:BE42))=0," ",(MAX(BE12:BE42))))</f>
        <v>12.41</v>
      </c>
      <c r="BG45" s="220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2.202</v>
      </c>
      <c r="E46" s="226">
        <f>(IF((SUM(E12:E42))=0," ",(MIN(E12:E42))))</f>
        <v>3.4</v>
      </c>
      <c r="F46" s="227">
        <f>(IF((SUM(F12:F42))=0," ",(MIN(F12:F42))))</f>
        <v>0.6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10</v>
      </c>
      <c r="M46" s="201">
        <f>(IF((SUM(M12:M42))=0," ",(MIN(M12:M42))))</f>
        <v>0</v>
      </c>
      <c r="O46" s="228" t="s">
        <v>150</v>
      </c>
      <c r="Q46" s="207" t="s">
        <v>150</v>
      </c>
      <c r="R46" s="190" t="str">
        <f>(IF(((SUM(R12:R42))=0),"-",(MIN(R12:R42))))</f>
        <v>-</v>
      </c>
      <c r="S46" s="195" t="str">
        <f>(IF(((SUM(S12:S42))=0),"-",(MIN(S12:S42))))</f>
        <v>-</v>
      </c>
      <c r="U46" s="229">
        <f>(IF((SUM(U12:U42))=0," ",(MIN(U12:U42))))</f>
        <v>6.84</v>
      </c>
      <c r="V46" s="191">
        <f>(IF((SUM(V12:V42))=0," ",(MIN(V12:V42))))</f>
        <v>6.85</v>
      </c>
      <c r="W46" s="211">
        <f>(IF((SUM(W12:W42))=0," ",(MIN(W12:W42))))</f>
        <v>6.1</v>
      </c>
      <c r="Y46" s="198">
        <f aca="true" t="shared" si="11" ref="Y46:AD46">(IF((SUM(Y12:Y42))=0," ",(MIN(Y12:Y42))))</f>
        <v>11.4</v>
      </c>
      <c r="Z46" s="188">
        <f t="shared" si="11"/>
        <v>10.5</v>
      </c>
      <c r="AA46" s="195">
        <f t="shared" si="11"/>
        <v>9.3</v>
      </c>
      <c r="AB46" s="265" t="str">
        <f t="shared" si="11"/>
        <v> </v>
      </c>
      <c r="AC46" s="229">
        <f t="shared" si="11"/>
        <v>2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213</v>
      </c>
      <c r="AJ46" s="188">
        <f t="shared" si="12"/>
        <v>4314.92418</v>
      </c>
      <c r="AK46" s="198">
        <f t="shared" si="12"/>
        <v>151</v>
      </c>
      <c r="AL46" s="195">
        <f t="shared" si="12"/>
        <v>3019.89732</v>
      </c>
      <c r="AM46" s="198">
        <f t="shared" si="12"/>
        <v>11</v>
      </c>
      <c r="AN46" s="195">
        <f t="shared" si="12"/>
        <v>222.83646</v>
      </c>
      <c r="AO46" s="230">
        <f t="shared" si="12"/>
        <v>8</v>
      </c>
      <c r="AQ46" s="198">
        <f aca="true" t="shared" si="13" ref="AQ46:AV46">(IF((SUM(AQ12:AQ42))=0," ",(MIN(AQ12:AQ42))))</f>
        <v>180</v>
      </c>
      <c r="AR46" s="195">
        <f t="shared" si="13"/>
        <v>3547.3356</v>
      </c>
      <c r="AS46" s="198">
        <f t="shared" si="13"/>
        <v>76</v>
      </c>
      <c r="AT46" s="195">
        <f t="shared" si="13"/>
        <v>1544.03424</v>
      </c>
      <c r="AU46" s="198">
        <f t="shared" si="13"/>
        <v>15</v>
      </c>
      <c r="AV46" s="195">
        <f t="shared" si="13"/>
        <v>304.7436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30</v>
      </c>
      <c r="BC46" s="207" t="s">
        <v>150</v>
      </c>
      <c r="BD46" s="208" t="s">
        <v>150</v>
      </c>
      <c r="BE46" s="201">
        <f>(IF((SUM(BE12:BE42))=0," ",(MIN(BE12:BE42))))</f>
        <v>12.25</v>
      </c>
      <c r="BG46" s="207" t="s">
        <v>150</v>
      </c>
      <c r="BH46" s="213" t="s">
        <v>150</v>
      </c>
      <c r="BI46" s="214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2.6126774193548385</v>
      </c>
      <c r="E47" s="215">
        <f>(IF((SUM(E12:E42))=0," ",(AVERAGE(E12:E42))))</f>
        <v>4.474193548387097</v>
      </c>
      <c r="F47" s="216">
        <f>(IF((SUM(F12:F42))=0," ",(AVERAGE(F12:F42))))</f>
        <v>0.709677419354839</v>
      </c>
      <c r="G47" s="215" t="str">
        <f>(IF((SUM(G12:G42))=0,"0.000",(AVERAGE(G12:G42))))</f>
        <v>0.000</v>
      </c>
      <c r="H47" s="161">
        <f>(IF((SUM(H12:H42))=0," ",(AVERAGE(H12:H42))))</f>
        <v>1427.4193548387098</v>
      </c>
      <c r="I47" s="162">
        <f>(IF((SUM(I12:I42))=0," ",(AVERAGE(I12:I42))))</f>
        <v>3000</v>
      </c>
      <c r="K47" s="179" t="s">
        <v>150</v>
      </c>
      <c r="L47" s="182">
        <f>(IF((SUM(L12:L42))=0," ",(AVERAGE(L12:L42))))</f>
        <v>27.612903225806452</v>
      </c>
      <c r="M47" s="218">
        <f>(IF((SUM(M12:M42))=0," ",(AVERAGE(M12:M42))))</f>
        <v>0.11548387096774189</v>
      </c>
      <c r="O47" s="219" t="s">
        <v>150</v>
      </c>
      <c r="Q47" s="217" t="str">
        <f>(IF((SUM(Q12:Q42))=0," ",(AVERAGE(Q12:Q42))))</f>
        <v> </v>
      </c>
      <c r="R47" s="232" t="s">
        <v>150</v>
      </c>
      <c r="S47" s="233" t="s">
        <v>150</v>
      </c>
      <c r="U47" s="221">
        <f>(IF((SUM(U12:U42))=0," ",(AVERAGE(U12:U42))))</f>
        <v>7.079677419354839</v>
      </c>
      <c r="V47" s="182">
        <f>(IF((SUM(V12:V42))=0," ",(AVERAGE(V12:V42))))</f>
        <v>7.035161290322581</v>
      </c>
      <c r="W47" s="222">
        <f>(IF((SUM(W12:W42))=0," ",(AVERAGE(W12:W42))))</f>
        <v>6.825483870967742</v>
      </c>
      <c r="Y47" s="217">
        <f>(IF((SUM(Y12:Y42))=0," ",(AVERAGE(Y12:Y42))))</f>
        <v>12.83548387096774</v>
      </c>
      <c r="Z47" s="161">
        <f>(IF((SUM(Z12:Z42))=0," ",(AVERAGE(Z12:Z42))))</f>
        <v>12.119354838709679</v>
      </c>
      <c r="AA47" s="162">
        <f>(IF((SUM(AA12:AA42))=0," ",(AVERAGE(AA12:AA42))))</f>
        <v>11.941935483870967</v>
      </c>
      <c r="AC47" s="221">
        <f>(IF((SUM(AC12:AC42))=0," ",(AVERAGE(AC12:AC42))))</f>
        <v>6.483870967741935</v>
      </c>
      <c r="AD47" s="183">
        <f>(IF((SUM(AD12:AD42))=0," ",(AVERAGE(AD12:AD42))))</f>
        <v>0.07838709677419355</v>
      </c>
      <c r="AE47" s="218">
        <f>(IF((COUNT(AE12:AE42))=0," ",(AVERAGE(AE12:AE42))))</f>
        <v>0.0012903225806451613</v>
      </c>
      <c r="AG47" s="26" t="str">
        <f>($A47)</f>
        <v>Average</v>
      </c>
      <c r="AI47" s="161">
        <f aca="true" t="shared" si="14" ref="AI47:AO47">(IF((SUM(AI12:AI42))=0," ",(AVERAGE(AI12:AI42))))</f>
        <v>242</v>
      </c>
      <c r="AJ47" s="161">
        <f t="shared" si="14"/>
        <v>5254.28896</v>
      </c>
      <c r="AK47" s="217">
        <f t="shared" si="14"/>
        <v>157</v>
      </c>
      <c r="AL47" s="162">
        <f t="shared" si="14"/>
        <v>3417.516828</v>
      </c>
      <c r="AM47" s="217">
        <f t="shared" si="14"/>
        <v>16.466666666666665</v>
      </c>
      <c r="AN47" s="162">
        <f t="shared" si="14"/>
        <v>356.91141200000004</v>
      </c>
      <c r="AO47" s="223">
        <f t="shared" si="14"/>
        <v>10.2</v>
      </c>
      <c r="AQ47" s="217">
        <f aca="true" t="shared" si="15" ref="AQ47:AV47">(IF((SUM(AQ12:AQ42))=0," ",(AVERAGE(AQ12:AQ42))))</f>
        <v>227.2</v>
      </c>
      <c r="AR47" s="162">
        <f t="shared" si="15"/>
        <v>4924.046087999999</v>
      </c>
      <c r="AS47" s="217">
        <f t="shared" si="15"/>
        <v>89</v>
      </c>
      <c r="AT47" s="162">
        <f t="shared" si="15"/>
        <v>1920.7987440000002</v>
      </c>
      <c r="AU47" s="217">
        <f t="shared" si="15"/>
        <v>21</v>
      </c>
      <c r="AV47" s="162">
        <f t="shared" si="15"/>
        <v>455.3778999999999</v>
      </c>
      <c r="AX47" s="217">
        <f aca="true" t="shared" si="16" ref="AX47:BE47">(IF((SUM(AX12:AX42))=0," ",(AVERAGE(AX12:AX42))))</f>
        <v>56944.555555555555</v>
      </c>
      <c r="AY47" s="182">
        <f t="shared" si="16"/>
        <v>3.2222222222222223</v>
      </c>
      <c r="AZ47" s="222">
        <f t="shared" si="16"/>
        <v>3.5555555555555554</v>
      </c>
      <c r="BA47" s="217">
        <f t="shared" si="16"/>
        <v>34.78888888888889</v>
      </c>
      <c r="BB47" s="222">
        <f t="shared" si="16"/>
        <v>31.77777777777778</v>
      </c>
      <c r="BC47" s="217">
        <f t="shared" si="16"/>
        <v>22.666666666666668</v>
      </c>
      <c r="BD47" s="161">
        <f t="shared" si="16"/>
        <v>1580</v>
      </c>
      <c r="BE47" s="218">
        <f t="shared" si="16"/>
        <v>12.346666666666668</v>
      </c>
      <c r="BG47" s="217">
        <f>(IF((SUM(BG12:BG42))=0," ",(AVERAGE(BG12:BG42))))</f>
        <v>22.666666666666668</v>
      </c>
      <c r="BH47" s="180" t="s">
        <v>150</v>
      </c>
      <c r="BI47" s="181" t="s">
        <v>150</v>
      </c>
      <c r="BK47" s="20"/>
      <c r="BL47" s="20"/>
      <c r="BM47" s="20"/>
      <c r="BN47" s="20"/>
      <c r="BO47" s="20"/>
      <c r="BP47" s="20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20"/>
      <c r="BL48" s="20"/>
      <c r="BM48" s="20"/>
      <c r="BN48" s="20"/>
      <c r="BO48" s="26"/>
      <c r="BP48" s="20"/>
      <c r="BQ48" s="298"/>
      <c r="BR48" s="299"/>
      <c r="BS48" s="298"/>
      <c r="BT48" s="26"/>
      <c r="BU48" s="299"/>
      <c r="BV48" s="58"/>
      <c r="BW48" s="58"/>
      <c r="BX48" s="299"/>
      <c r="BY48" s="26"/>
      <c r="BZ48" s="26"/>
      <c r="CA48" s="75"/>
      <c r="CB48" s="26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 t="str">
        <f>(IF(((SUM(S12:S42))=0),"-",(GEOMEAN(S12:S42))))</f>
        <v>-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93.20723670287063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90.75704225352112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40"/>
      <c r="BL49" s="240"/>
      <c r="BM49" s="104"/>
      <c r="BN49" s="240"/>
      <c r="BO49" s="104"/>
      <c r="BP49" s="240"/>
      <c r="BQ49" s="300"/>
      <c r="BR49" s="301"/>
      <c r="BS49" s="300"/>
      <c r="BT49" s="104"/>
      <c r="BU49" s="301"/>
      <c r="BV49" s="143"/>
      <c r="BW49" s="143"/>
      <c r="BX49" s="146"/>
      <c r="BY49" s="104"/>
      <c r="BZ49" s="301"/>
      <c r="CA49" s="148"/>
      <c r="CB49" s="104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40"/>
      <c r="BL52" s="240"/>
      <c r="BM52" s="240"/>
      <c r="BN52" s="240"/>
      <c r="BO52" s="240"/>
      <c r="BP52" s="240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11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40"/>
      <c r="BL53" s="240"/>
      <c r="BM53" s="240"/>
      <c r="BN53" s="240"/>
      <c r="BO53" s="104"/>
      <c r="BP53" s="240"/>
      <c r="BQ53" s="300"/>
      <c r="BR53" s="301"/>
      <c r="BS53" s="300"/>
      <c r="BT53" s="104"/>
      <c r="BU53" s="301"/>
      <c r="BV53" s="301"/>
      <c r="BW53" s="146"/>
      <c r="BX53" s="301"/>
      <c r="BY53" s="104"/>
      <c r="BZ53" s="104"/>
      <c r="CA53" s="148"/>
      <c r="CB53" s="104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11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40"/>
      <c r="BL54" s="240"/>
      <c r="BM54" s="104"/>
      <c r="BN54" s="240"/>
      <c r="BO54" s="104"/>
      <c r="BP54" s="240"/>
      <c r="BQ54" s="300"/>
      <c r="BR54" s="301"/>
      <c r="BS54" s="300"/>
      <c r="BT54" s="104"/>
      <c r="BU54" s="301"/>
      <c r="BV54" s="301"/>
      <c r="BW54" s="146"/>
      <c r="BX54" s="146"/>
      <c r="BY54" s="104"/>
      <c r="BZ54" s="301"/>
      <c r="CA54" s="144"/>
      <c r="CB54" s="104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11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11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11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11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11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11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60" r:id="rId1"/>
  <colBreaks count="2" manualBreakCount="2">
    <brk id="32" max="50" man="1"/>
    <brk id="62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R238"/>
  <sheetViews>
    <sheetView tabSelected="1" view="pageBreakPreview" zoomScale="72" zoomScaleNormal="60" zoomScaleSheetLayoutView="72" workbookViewId="0" topLeftCell="B6">
      <pane xSplit="5" ySplit="4" topLeftCell="G10" activePane="bottomRight" state="frozen"/>
      <selection pane="topLeft" activeCell="B6" sqref="B6"/>
      <selection pane="topRight" activeCell="G6" sqref="G6"/>
      <selection pane="bottomLeft" activeCell="B10" sqref="B10"/>
      <selection pane="bottomRight" activeCell="G10" sqref="G10"/>
    </sheetView>
  </sheetViews>
  <sheetFormatPr defaultColWidth="9.140625" defaultRowHeight="12.75"/>
  <cols>
    <col min="1" max="2" width="6.7109375" style="0" customWidth="1"/>
    <col min="3" max="3" width="15.421875" style="0" customWidth="1"/>
    <col min="4" max="4" width="14.7109375" style="0" customWidth="1"/>
    <col min="5" max="5" width="11.7109375" style="0" customWidth="1"/>
    <col min="6" max="6" width="3.7109375" style="0" customWidth="1"/>
    <col min="7" max="18" width="14.7109375" style="0" customWidth="1"/>
    <col min="19" max="19" width="3.7109375" style="0" customWidth="1"/>
    <col min="20" max="20" width="12.7109375" style="0" customWidth="1"/>
    <col min="21" max="21" width="14.7109375" style="0" customWidth="1"/>
    <col min="22" max="22" width="12.7109375" style="0" customWidth="1"/>
    <col min="23" max="23" width="3.7109375" style="0" customWidth="1"/>
    <col min="24" max="24" width="12.7109375" style="0" customWidth="1"/>
    <col min="25" max="26" width="3.7109375" style="0" customWidth="1"/>
    <col min="27" max="27" width="20.7109375" style="0" customWidth="1"/>
    <col min="28" max="29" width="12.7109375" style="0" customWidth="1"/>
  </cols>
  <sheetData>
    <row r="1" spans="1:96" ht="18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4"/>
      <c r="J1" s="164"/>
      <c r="K1" s="164"/>
      <c r="L1" s="164" t="s">
        <v>148</v>
      </c>
      <c r="M1" s="163"/>
      <c r="N1" s="165"/>
      <c r="O1" s="165"/>
      <c r="P1" s="166"/>
      <c r="Q1" s="166"/>
      <c r="R1" s="166"/>
      <c r="S1" s="165"/>
      <c r="T1" s="166"/>
      <c r="U1" s="166"/>
      <c r="V1" s="166"/>
      <c r="W1" s="163"/>
      <c r="X1" s="166" t="s">
        <v>153</v>
      </c>
      <c r="Y1" s="163"/>
      <c r="Z1" s="163"/>
      <c r="AA1" s="163"/>
      <c r="AB1" s="163"/>
      <c r="AC1" s="16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ht="18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5"/>
      <c r="O2" s="165"/>
      <c r="P2" s="165"/>
      <c r="Q2" s="167"/>
      <c r="R2" s="165"/>
      <c r="S2" s="165"/>
      <c r="T2" s="165"/>
      <c r="U2" s="167"/>
      <c r="V2" s="165"/>
      <c r="W2" s="163"/>
      <c r="X2" s="165"/>
      <c r="Y2" s="163"/>
      <c r="Z2" s="163"/>
      <c r="AA2" s="163"/>
      <c r="AB2" s="163"/>
      <c r="AC2" s="16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1:96" ht="18" customHeight="1">
      <c r="A3" s="163" t="s">
        <v>231</v>
      </c>
      <c r="B3" s="163"/>
      <c r="C3" s="163"/>
      <c r="D3" s="163"/>
      <c r="E3" s="163"/>
      <c r="F3" s="163"/>
      <c r="G3" s="163"/>
      <c r="H3" s="163"/>
      <c r="I3" s="164"/>
      <c r="J3" s="164"/>
      <c r="K3" s="164"/>
      <c r="L3" s="164" t="s">
        <v>137</v>
      </c>
      <c r="M3" s="163"/>
      <c r="N3" s="165"/>
      <c r="O3" s="165"/>
      <c r="P3" s="166"/>
      <c r="Q3" s="166"/>
      <c r="R3" s="166"/>
      <c r="S3" s="165"/>
      <c r="T3" s="166"/>
      <c r="U3" s="166"/>
      <c r="V3" s="166"/>
      <c r="W3" s="163"/>
      <c r="X3" s="166" t="s">
        <v>154</v>
      </c>
      <c r="Y3" s="163"/>
      <c r="Z3" s="163"/>
      <c r="AA3" s="163"/>
      <c r="AB3" s="163"/>
      <c r="AC3" s="16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1:96" ht="18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6"/>
      <c r="W4" s="163"/>
      <c r="X4" s="163"/>
      <c r="Y4" s="163"/>
      <c r="Z4" s="163"/>
      <c r="AA4" s="163"/>
      <c r="AB4" s="163"/>
      <c r="AC4" s="16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ht="18" customHeight="1">
      <c r="A5" s="163" t="s">
        <v>232</v>
      </c>
      <c r="B5" s="163" t="str">
        <f ca="1">(CELL("filename"))</f>
        <v>\\bsd-server\Shared\Operations\TREATMENT PLANT DIVISION\STATE  REPORT\Historical State Reports\2007 State Report\[2007 State Report.xls]January 07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7"/>
      <c r="N5" s="163"/>
      <c r="O5" s="163"/>
      <c r="P5" s="163"/>
      <c r="Q5" s="163"/>
      <c r="R5" s="163"/>
      <c r="S5" s="163"/>
      <c r="T5" s="163"/>
      <c r="U5" s="163"/>
      <c r="V5" s="168"/>
      <c r="W5" s="163"/>
      <c r="X5" s="168" t="s">
        <v>155</v>
      </c>
      <c r="Y5" s="163"/>
      <c r="Z5" s="163"/>
      <c r="AA5" s="163"/>
      <c r="AB5" s="163"/>
      <c r="AC5" s="16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ht="18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7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18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350" t="s">
        <v>156</v>
      </c>
      <c r="U7" s="351"/>
      <c r="V7" s="352"/>
      <c r="W7" s="163"/>
      <c r="X7" s="320" t="s">
        <v>236</v>
      </c>
      <c r="Y7" s="173"/>
      <c r="Z7" s="173"/>
      <c r="AA7" s="163"/>
      <c r="AB7" s="163"/>
      <c r="AC7" s="16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ht="18" customHeight="1">
      <c r="A8" s="163"/>
      <c r="B8" s="169" t="s">
        <v>157</v>
      </c>
      <c r="C8" s="169"/>
      <c r="D8" s="169" t="s">
        <v>158</v>
      </c>
      <c r="E8" s="170" t="s">
        <v>123</v>
      </c>
      <c r="F8" s="170"/>
      <c r="G8" s="170" t="s">
        <v>28</v>
      </c>
      <c r="H8" s="170" t="s">
        <v>29</v>
      </c>
      <c r="I8" s="171" t="s">
        <v>30</v>
      </c>
      <c r="J8" s="170" t="s">
        <v>31</v>
      </c>
      <c r="K8" s="170" t="s">
        <v>32</v>
      </c>
      <c r="L8" s="170" t="s">
        <v>33</v>
      </c>
      <c r="M8" s="170" t="s">
        <v>34</v>
      </c>
      <c r="N8" s="170" t="s">
        <v>35</v>
      </c>
      <c r="O8" s="170" t="s">
        <v>36</v>
      </c>
      <c r="P8" s="170" t="s">
        <v>37</v>
      </c>
      <c r="Q8" s="170" t="s">
        <v>38</v>
      </c>
      <c r="R8" s="170" t="s">
        <v>39</v>
      </c>
      <c r="S8" s="170"/>
      <c r="T8" s="170" t="s">
        <v>52</v>
      </c>
      <c r="U8" s="170" t="s">
        <v>233</v>
      </c>
      <c r="V8" s="170" t="s">
        <v>123</v>
      </c>
      <c r="W8" s="163"/>
      <c r="X8" s="170" t="s">
        <v>235</v>
      </c>
      <c r="Y8" s="163"/>
      <c r="Z8" s="163"/>
      <c r="AA8" s="163"/>
      <c r="AB8" s="163"/>
      <c r="AC8" s="16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ht="18" customHeight="1">
      <c r="A9" s="163"/>
      <c r="B9" s="163"/>
      <c r="C9" s="163"/>
      <c r="D9" s="163"/>
      <c r="E9" s="166"/>
      <c r="F9" s="166"/>
      <c r="G9" s="166"/>
      <c r="H9" s="166"/>
      <c r="I9" s="172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3"/>
      <c r="X9" s="163"/>
      <c r="Y9" s="163"/>
      <c r="Z9" s="163"/>
      <c r="AA9" s="163"/>
      <c r="AB9" s="163"/>
      <c r="AC9" s="163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 ht="18" customHeight="1">
      <c r="A10" s="163"/>
      <c r="B10" s="163" t="s">
        <v>159</v>
      </c>
      <c r="C10" s="163"/>
      <c r="D10" s="163" t="s">
        <v>160</v>
      </c>
      <c r="E10" s="168" t="s">
        <v>40</v>
      </c>
      <c r="F10" s="168"/>
      <c r="G10" s="242">
        <f>('January 04'!$D$44)</f>
        <v>79.82600000000002</v>
      </c>
      <c r="H10" s="242">
        <f>('February 04'!$D$44)</f>
        <v>64.387</v>
      </c>
      <c r="I10" s="242">
        <f>('March 04'!$D$44)</f>
        <v>65.29000000000002</v>
      </c>
      <c r="J10" s="242">
        <f>('April 04'!$D$44)</f>
        <v>89.03299999999999</v>
      </c>
      <c r="K10" s="242">
        <f>('May 04'!$D$44)</f>
        <v>87.04200000000002</v>
      </c>
      <c r="L10" s="242">
        <f>('June 04'!$D$44)</f>
        <v>73.767</v>
      </c>
      <c r="M10" s="242">
        <f>('July 04'!$D$44)</f>
        <v>70.41</v>
      </c>
      <c r="N10" s="242">
        <f>('August 04'!$D$44)</f>
        <v>73.69200000000002</v>
      </c>
      <c r="O10" s="242">
        <f>('September 04'!$D$44)</f>
        <v>73.682</v>
      </c>
      <c r="P10" s="242">
        <f>('October 04'!$D$44)</f>
        <v>68.759</v>
      </c>
      <c r="Q10" s="242">
        <f>('November 04'!$D$44)</f>
        <v>65.87100000000001</v>
      </c>
      <c r="R10" s="242">
        <f>('December 04'!$D$44)</f>
        <v>80.993</v>
      </c>
      <c r="S10" s="242"/>
      <c r="T10" s="312">
        <f>(SUM(G10:R10))</f>
        <v>892.7520000000002</v>
      </c>
      <c r="U10" s="242">
        <f>(IF(((SUM(G10:R10))=0)," ",(AVERAGE(G10:R10))))</f>
        <v>74.39600000000002</v>
      </c>
      <c r="V10" s="168" t="s">
        <v>40</v>
      </c>
      <c r="W10" s="163"/>
      <c r="X10" s="163"/>
      <c r="Y10" s="163"/>
      <c r="Z10" s="163"/>
      <c r="AA10" s="163" t="s">
        <v>161</v>
      </c>
      <c r="AB10" s="163"/>
      <c r="AC10" s="16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ht="18" customHeight="1">
      <c r="A11" s="163"/>
      <c r="B11" s="163"/>
      <c r="C11" s="163"/>
      <c r="D11" s="163" t="s">
        <v>162</v>
      </c>
      <c r="E11" s="168" t="s">
        <v>41</v>
      </c>
      <c r="F11" s="168"/>
      <c r="G11" s="242">
        <f>('January 04'!$D$45)</f>
        <v>3.075</v>
      </c>
      <c r="H11" s="242">
        <f>('February 04'!$D$45)</f>
        <v>2.937</v>
      </c>
      <c r="I11" s="242">
        <f>('March 04'!$D$45)</f>
        <v>2.361</v>
      </c>
      <c r="J11" s="312">
        <f>('April 04'!$D$45)</f>
        <v>3.724</v>
      </c>
      <c r="K11" s="242">
        <f>('May 04'!$D$45)</f>
        <v>3.323</v>
      </c>
      <c r="L11" s="242">
        <f>('June 04'!$D$45)</f>
        <v>2.858</v>
      </c>
      <c r="M11" s="242">
        <f>('July 04'!$D$45)</f>
        <v>2.77</v>
      </c>
      <c r="N11" s="242">
        <f>('August 04'!$D$45)</f>
        <v>3.038</v>
      </c>
      <c r="O11" s="242">
        <f>('September 04'!$D$45)</f>
        <v>2.9</v>
      </c>
      <c r="P11" s="242">
        <f>('October 04'!$D$45)</f>
        <v>2.725</v>
      </c>
      <c r="Q11" s="242">
        <f>('November 04'!$D$45)</f>
        <v>2.891</v>
      </c>
      <c r="R11" s="242">
        <f>('December 04'!$D$45)</f>
        <v>3.266</v>
      </c>
      <c r="S11" s="242"/>
      <c r="T11" s="242" t="s">
        <v>150</v>
      </c>
      <c r="U11" s="312">
        <f>(IF(((SUM(G11:R11))=0)," ",(MAX(G11:R11))))</f>
        <v>3.724</v>
      </c>
      <c r="V11" s="168" t="s">
        <v>41</v>
      </c>
      <c r="W11" s="163"/>
      <c r="X11" s="166" t="s">
        <v>234</v>
      </c>
      <c r="Y11" s="163"/>
      <c r="Z11" s="163"/>
      <c r="AA11" s="163" t="s">
        <v>163</v>
      </c>
      <c r="AB11" s="163"/>
      <c r="AC11" s="163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1:96" ht="18" customHeight="1">
      <c r="A12" s="163"/>
      <c r="B12" s="163"/>
      <c r="C12" s="163"/>
      <c r="D12" s="163" t="s">
        <v>164</v>
      </c>
      <c r="E12" s="168" t="s">
        <v>41</v>
      </c>
      <c r="F12" s="168"/>
      <c r="G12" s="242">
        <f>('January 04'!$D$47)</f>
        <v>2.5750322580645166</v>
      </c>
      <c r="H12" s="242">
        <f>('February 04'!$D$47)</f>
        <v>2.220241379310345</v>
      </c>
      <c r="I12" s="242">
        <f>('March 04'!$D$47)</f>
        <v>2.1061290322580652</v>
      </c>
      <c r="J12" s="242">
        <f>('April 04'!$D$47)</f>
        <v>2.9677666666666664</v>
      </c>
      <c r="K12" s="242">
        <f>('May 04'!$D$47)</f>
        <v>2.8078064516129038</v>
      </c>
      <c r="L12" s="242">
        <f>('June 04'!$D$47)</f>
        <v>2.4589</v>
      </c>
      <c r="M12" s="242">
        <f>('July 04'!$D$47)</f>
        <v>2.271290322580645</v>
      </c>
      <c r="N12" s="242">
        <f>('August 04'!$D$47)</f>
        <v>2.377161290322581</v>
      </c>
      <c r="O12" s="242">
        <f>('September 04'!$D$47)</f>
        <v>2.4560666666666666</v>
      </c>
      <c r="P12" s="242">
        <f>('October 04'!$D$47)</f>
        <v>2.218032258064516</v>
      </c>
      <c r="Q12" s="242">
        <f>('November 04'!$D$47)</f>
        <v>2.1957000000000004</v>
      </c>
      <c r="R12" s="242">
        <f>('December 04'!$D$47)</f>
        <v>2.6126774193548385</v>
      </c>
      <c r="S12" s="242"/>
      <c r="T12" s="242" t="s">
        <v>150</v>
      </c>
      <c r="U12" s="312">
        <f>(IF(((SUM(G12:R12))=0)," ",(AVERAGE(G12:R12))))</f>
        <v>2.4389003120751447</v>
      </c>
      <c r="V12" s="168" t="s">
        <v>41</v>
      </c>
      <c r="W12" s="163"/>
      <c r="X12" s="163">
        <v>3.85</v>
      </c>
      <c r="Y12" s="163"/>
      <c r="Z12" s="163"/>
      <c r="AA12" s="163" t="s">
        <v>164</v>
      </c>
      <c r="AB12" s="163"/>
      <c r="AC12" s="163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ht="18" customHeight="1">
      <c r="A13" s="163"/>
      <c r="B13" s="163"/>
      <c r="C13" s="163"/>
      <c r="D13" s="163" t="s">
        <v>165</v>
      </c>
      <c r="E13" s="168" t="s">
        <v>41</v>
      </c>
      <c r="F13" s="168"/>
      <c r="G13" s="242">
        <f>('January 04'!$D$46)</f>
        <v>2.314</v>
      </c>
      <c r="H13" s="242">
        <f>('February 04'!$D$46)</f>
        <v>1.872</v>
      </c>
      <c r="I13" s="242">
        <f>('March 04'!$D$46)</f>
        <v>1.948</v>
      </c>
      <c r="J13" s="242">
        <f>('April 04'!$D$46)</f>
        <v>2.473</v>
      </c>
      <c r="K13" s="242">
        <f>('May 04'!$D$46)</f>
        <v>2.575</v>
      </c>
      <c r="L13" s="312">
        <f>('June 04'!$D$46)</f>
        <v>1.766</v>
      </c>
      <c r="M13" s="242">
        <f>('July 04'!$D$46)</f>
        <v>1.939</v>
      </c>
      <c r="N13" s="242">
        <f>('August 04'!$D$46)</f>
        <v>2.006</v>
      </c>
      <c r="O13" s="242">
        <f>('September 04'!$D$46)</f>
        <v>2.142</v>
      </c>
      <c r="P13" s="242">
        <f>('October 04'!$D$46)</f>
        <v>1.964</v>
      </c>
      <c r="Q13" s="242">
        <f>('November 04'!$D$46)</f>
        <v>1.957</v>
      </c>
      <c r="R13" s="242">
        <f>('December 04'!$D$46)</f>
        <v>2.202</v>
      </c>
      <c r="S13" s="242"/>
      <c r="T13" s="242" t="s">
        <v>150</v>
      </c>
      <c r="U13" s="242">
        <f>(IF(((SUM(G13:R13))=0)," ",(AVERAGE(G13:R13))))</f>
        <v>2.0964999999999994</v>
      </c>
      <c r="V13" s="168" t="s">
        <v>41</v>
      </c>
      <c r="W13" s="163"/>
      <c r="X13" s="163"/>
      <c r="Y13" s="163"/>
      <c r="Z13" s="163"/>
      <c r="AA13" s="163" t="s">
        <v>166</v>
      </c>
      <c r="AB13" s="163"/>
      <c r="AC13" s="163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P13" s="4"/>
      <c r="BR13" s="4"/>
      <c r="BV13" s="4"/>
      <c r="CA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96" ht="18" customHeight="1">
      <c r="A14" s="163"/>
      <c r="B14" s="163"/>
      <c r="C14" s="163"/>
      <c r="D14" s="163"/>
      <c r="E14" s="168"/>
      <c r="F14" s="168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247"/>
      <c r="U14" s="166"/>
      <c r="V14" s="168"/>
      <c r="W14" s="163"/>
      <c r="X14" s="163"/>
      <c r="Y14" s="163"/>
      <c r="Z14" s="163"/>
      <c r="AA14" s="163"/>
      <c r="AB14" s="163"/>
      <c r="AC14" s="163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ht="18" customHeight="1">
      <c r="A15" s="163"/>
      <c r="B15" s="163" t="s">
        <v>167</v>
      </c>
      <c r="C15" s="163"/>
      <c r="D15" s="163" t="s">
        <v>168</v>
      </c>
      <c r="E15" s="168" t="s">
        <v>73</v>
      </c>
      <c r="F15" s="168"/>
      <c r="G15" s="248">
        <f>('January 04'!$H$44)</f>
        <v>33200</v>
      </c>
      <c r="H15" s="248">
        <f>('February 04'!$H$44)</f>
        <v>57350</v>
      </c>
      <c r="I15" s="248">
        <f>('March 04'!$H$44)</f>
        <v>70400</v>
      </c>
      <c r="J15" s="248">
        <f>('April 04'!$H$44)</f>
        <v>67700</v>
      </c>
      <c r="K15" s="248">
        <f>('May 04'!$H$44)</f>
        <v>81900</v>
      </c>
      <c r="L15" s="248">
        <f>('June 04'!$H$44)</f>
        <v>80600</v>
      </c>
      <c r="M15" s="248">
        <f>('July 04'!$H$44)</f>
        <v>82950</v>
      </c>
      <c r="N15" s="248">
        <f>('August 04'!$H$44)</f>
        <v>111750</v>
      </c>
      <c r="O15" s="248">
        <f>('September 04'!$H$44)</f>
        <v>80650</v>
      </c>
      <c r="P15" s="248">
        <f>('October 04'!$H$44)</f>
        <v>59100</v>
      </c>
      <c r="Q15" s="248">
        <f>('November 04'!$H$44)</f>
        <v>44250</v>
      </c>
      <c r="R15" s="248">
        <f>('December 04'!$H$44)</f>
        <v>44250</v>
      </c>
      <c r="S15" s="243"/>
      <c r="T15" s="313">
        <f>(SUM(G15:R15))</f>
        <v>814100</v>
      </c>
      <c r="U15" s="248">
        <f>(IF(((SUM(G15:R15))=0)," ",(AVERAGE(G15:R15))))</f>
        <v>67841.66666666667</v>
      </c>
      <c r="V15" s="168" t="s">
        <v>73</v>
      </c>
      <c r="W15" s="163"/>
      <c r="X15" s="163"/>
      <c r="Y15" s="163"/>
      <c r="Z15" s="163"/>
      <c r="AA15" s="163" t="s">
        <v>161</v>
      </c>
      <c r="AB15" s="163"/>
      <c r="AC15" s="163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 ht="18" customHeight="1">
      <c r="A16" s="163"/>
      <c r="B16" s="163"/>
      <c r="C16" s="163"/>
      <c r="D16" s="163"/>
      <c r="E16" s="168"/>
      <c r="F16" s="168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8"/>
      <c r="W16" s="163"/>
      <c r="X16" s="163"/>
      <c r="Y16" s="163"/>
      <c r="Z16" s="163"/>
      <c r="AA16" s="163"/>
      <c r="AB16" s="163"/>
      <c r="AC16" s="16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 ht="18" customHeight="1">
      <c r="A17" s="163"/>
      <c r="B17" s="163" t="s">
        <v>169</v>
      </c>
      <c r="C17" s="163"/>
      <c r="D17" s="163" t="s">
        <v>168</v>
      </c>
      <c r="E17" s="168" t="s">
        <v>73</v>
      </c>
      <c r="F17" s="168"/>
      <c r="G17" s="248">
        <f>('January 04'!$I$44)</f>
        <v>64000</v>
      </c>
      <c r="H17" s="248">
        <f>('February 04'!$I$44)</f>
        <v>126450</v>
      </c>
      <c r="I17" s="248">
        <f>('March 04'!$I$44)</f>
        <v>95800</v>
      </c>
      <c r="J17" s="248">
        <f>('April 04'!$I$44)</f>
        <v>142050</v>
      </c>
      <c r="K17" s="248">
        <f>('May 04'!$I$44)</f>
        <v>176750</v>
      </c>
      <c r="L17" s="248">
        <f>('June 04'!$I$44)</f>
        <v>201250</v>
      </c>
      <c r="M17" s="248">
        <f>('July 04'!$I$44)</f>
        <v>192250</v>
      </c>
      <c r="N17" s="248">
        <f>('August 04'!$I$44)</f>
        <v>161750</v>
      </c>
      <c r="O17" s="248">
        <f>('September 04'!$I$44)</f>
        <v>180750</v>
      </c>
      <c r="P17" s="248">
        <f>('October 04'!$I$44)</f>
        <v>181750</v>
      </c>
      <c r="Q17" s="248">
        <f>('November 04'!$I$44)</f>
        <v>136750</v>
      </c>
      <c r="R17" s="248">
        <f>('December 04'!$I$44)</f>
        <v>93000</v>
      </c>
      <c r="S17" s="243"/>
      <c r="T17" s="313">
        <f>(SUM(G17:R17))</f>
        <v>1752550</v>
      </c>
      <c r="U17" s="248">
        <f>(IF(((SUM(G17:R17))=0)," ",(AVERAGE(G17:R17))))</f>
        <v>146045.83333333334</v>
      </c>
      <c r="V17" s="168" t="s">
        <v>73</v>
      </c>
      <c r="W17" s="163"/>
      <c r="X17" s="163"/>
      <c r="Y17" s="163"/>
      <c r="Z17" s="163"/>
      <c r="AA17" s="163" t="s">
        <v>161</v>
      </c>
      <c r="AB17" s="163"/>
      <c r="AC17" s="16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ht="18" customHeight="1">
      <c r="A18" s="163"/>
      <c r="B18" s="163"/>
      <c r="C18" s="163"/>
      <c r="D18" s="163"/>
      <c r="E18" s="168"/>
      <c r="F18" s="168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8"/>
      <c r="W18" s="163"/>
      <c r="X18" s="163"/>
      <c r="Y18" s="163"/>
      <c r="Z18" s="163"/>
      <c r="AA18" s="163"/>
      <c r="AB18" s="163"/>
      <c r="AC18" s="163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P18" s="4"/>
      <c r="BR18" s="4"/>
      <c r="BV18" s="4"/>
      <c r="CA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ht="18" customHeight="1">
      <c r="A19" s="163"/>
      <c r="B19" s="163" t="s">
        <v>42</v>
      </c>
      <c r="C19" s="163"/>
      <c r="D19" s="163" t="s">
        <v>170</v>
      </c>
      <c r="E19" s="168" t="s">
        <v>171</v>
      </c>
      <c r="F19" s="168"/>
      <c r="G19" s="249" t="str">
        <f>('January 04'!$O$44)</f>
        <v>0.0</v>
      </c>
      <c r="H19" s="249">
        <f>('February 04'!$O$44)</f>
        <v>5</v>
      </c>
      <c r="I19" s="249">
        <f>('March 04'!$O$44)</f>
        <v>4</v>
      </c>
      <c r="J19" s="249" t="str">
        <f>('April 04'!$O$44)</f>
        <v>0.0</v>
      </c>
      <c r="K19" s="249" t="str">
        <f>('May 04'!$O$44)</f>
        <v>0.0</v>
      </c>
      <c r="L19" s="249">
        <f>('June 04'!$O$44)</f>
        <v>6</v>
      </c>
      <c r="M19" s="249" t="str">
        <f>('July 04'!$O$44)</f>
        <v>0.0</v>
      </c>
      <c r="N19" s="249" t="str">
        <f>('August 04'!$O$44)</f>
        <v>0.0</v>
      </c>
      <c r="O19" s="249" t="str">
        <f>('September 04'!$O$44)</f>
        <v>0.0</v>
      </c>
      <c r="P19" s="249">
        <f>('October 04'!$O$44)</f>
        <v>6</v>
      </c>
      <c r="Q19" s="249" t="str">
        <f>('November 04'!$O$44)</f>
        <v>0.0</v>
      </c>
      <c r="R19" s="249" t="str">
        <f>('December 04'!$O$44)</f>
        <v>0.0</v>
      </c>
      <c r="S19" s="244"/>
      <c r="T19" s="249">
        <f>(SUM(G19:R19))</f>
        <v>21</v>
      </c>
      <c r="U19" s="249">
        <f>(T19/4)</f>
        <v>5.25</v>
      </c>
      <c r="V19" s="168" t="s">
        <v>171</v>
      </c>
      <c r="W19" s="163"/>
      <c r="X19" s="163"/>
      <c r="Y19" s="163"/>
      <c r="Z19" s="163"/>
      <c r="AA19" s="163" t="s">
        <v>172</v>
      </c>
      <c r="AB19" s="163"/>
      <c r="AC19" s="163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ht="18" customHeight="1">
      <c r="A20" s="163"/>
      <c r="B20" s="163"/>
      <c r="C20" s="163"/>
      <c r="D20" s="163"/>
      <c r="E20" s="168"/>
      <c r="F20" s="168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8"/>
      <c r="W20" s="163"/>
      <c r="X20" s="163"/>
      <c r="Y20" s="163"/>
      <c r="Z20" s="163"/>
      <c r="AA20" s="163"/>
      <c r="AB20" s="163"/>
      <c r="AC20" s="16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ht="18" customHeight="1">
      <c r="A21" s="163"/>
      <c r="B21" s="163" t="s">
        <v>5</v>
      </c>
      <c r="C21" s="163"/>
      <c r="D21" s="163" t="s">
        <v>173</v>
      </c>
      <c r="E21" s="168" t="s">
        <v>73</v>
      </c>
      <c r="F21" s="168"/>
      <c r="G21" s="248" t="str">
        <f>('January 04'!$Q$44)</f>
        <v>0</v>
      </c>
      <c r="H21" s="248" t="str">
        <f>('February 04'!$Q$44)</f>
        <v>0</v>
      </c>
      <c r="I21" s="248" t="str">
        <f>('March 04'!$Q$44)</f>
        <v>0</v>
      </c>
      <c r="J21" s="248" t="str">
        <f>('April 04'!$Q$44)</f>
        <v>0</v>
      </c>
      <c r="K21" s="248">
        <f>('May 04'!$Q$44)</f>
        <v>357</v>
      </c>
      <c r="L21" s="248">
        <f>('June 04'!$Q$44)</f>
        <v>527</v>
      </c>
      <c r="M21" s="248">
        <f>('July 04'!$Q$44)</f>
        <v>516</v>
      </c>
      <c r="N21" s="248">
        <f>('August 04'!$Q$44)</f>
        <v>572</v>
      </c>
      <c r="O21" s="248">
        <f>('September 04'!$Q$44)</f>
        <v>624</v>
      </c>
      <c r="P21" s="248" t="str">
        <f>('October 04'!$Q$44)</f>
        <v>0</v>
      </c>
      <c r="Q21" s="248" t="str">
        <f>('November 04'!$Q$44)</f>
        <v>0</v>
      </c>
      <c r="R21" s="248" t="str">
        <f>('December 04'!$Q$44)</f>
        <v>0</v>
      </c>
      <c r="S21" s="243"/>
      <c r="T21" s="248">
        <f>(SUM(G21:R21))</f>
        <v>2596</v>
      </c>
      <c r="U21" s="248">
        <f>(T21/5)</f>
        <v>519.2</v>
      </c>
      <c r="V21" s="168" t="s">
        <v>174</v>
      </c>
      <c r="W21" s="163"/>
      <c r="X21" s="163"/>
      <c r="Y21" s="163"/>
      <c r="Z21" s="163"/>
      <c r="AA21" s="163" t="s">
        <v>161</v>
      </c>
      <c r="AB21" s="163"/>
      <c r="AC21" s="163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ht="18" customHeight="1">
      <c r="A22" s="163"/>
      <c r="B22" s="163"/>
      <c r="C22" s="163"/>
      <c r="D22" s="163"/>
      <c r="E22" s="168"/>
      <c r="F22" s="168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50"/>
      <c r="V22" s="168"/>
      <c r="W22" s="163"/>
      <c r="X22" s="163"/>
      <c r="Y22" s="163"/>
      <c r="Z22" s="163"/>
      <c r="AA22" s="163"/>
      <c r="AB22" s="163"/>
      <c r="AC22" s="163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ht="18" customHeight="1">
      <c r="A23" s="163"/>
      <c r="B23" s="163" t="s">
        <v>111</v>
      </c>
      <c r="C23" s="163" t="s">
        <v>84</v>
      </c>
      <c r="D23" s="163" t="s">
        <v>162</v>
      </c>
      <c r="E23" s="168" t="s">
        <v>175</v>
      </c>
      <c r="F23" s="168"/>
      <c r="G23" s="249">
        <f>('January 04'!$U$45)</f>
        <v>7.5</v>
      </c>
      <c r="H23" s="249">
        <f>('February 04'!$U$45)</f>
        <v>7.61</v>
      </c>
      <c r="I23" s="249">
        <f>('March 04'!$U$45)</f>
        <v>7.7</v>
      </c>
      <c r="J23" s="249">
        <f>('April 04'!$U$45)</f>
        <v>7.68</v>
      </c>
      <c r="K23" s="249">
        <f>('May 04'!$U$45)</f>
        <v>7.19</v>
      </c>
      <c r="L23" s="249">
        <f>('June 04'!$U$45)</f>
        <v>7.2</v>
      </c>
      <c r="M23" s="314">
        <f>('July 04'!$U$45)</f>
        <v>8.15</v>
      </c>
      <c r="N23" s="249">
        <f>('August 04'!$U$45)</f>
        <v>7.18</v>
      </c>
      <c r="O23" s="249">
        <f>('September 04'!$U$45)</f>
        <v>7.39</v>
      </c>
      <c r="P23" s="249">
        <f>('October 04'!$U$45)</f>
        <v>7.35</v>
      </c>
      <c r="Q23" s="249">
        <f>('November 04'!$U$45)</f>
        <v>7.54</v>
      </c>
      <c r="R23" s="249">
        <f>('December 04'!$U$45)</f>
        <v>7.28</v>
      </c>
      <c r="S23" s="244"/>
      <c r="T23" s="244" t="s">
        <v>150</v>
      </c>
      <c r="U23" s="249" t="s">
        <v>150</v>
      </c>
      <c r="V23" s="168"/>
      <c r="W23" s="163"/>
      <c r="X23" s="163"/>
      <c r="Y23" s="163"/>
      <c r="Z23" s="163"/>
      <c r="AA23" s="163" t="s">
        <v>163</v>
      </c>
      <c r="AB23" s="163"/>
      <c r="AC23" s="16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P23" s="4"/>
      <c r="BR23" s="4"/>
      <c r="BV23" s="4"/>
      <c r="CA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ht="18" customHeight="1">
      <c r="A24" s="163"/>
      <c r="B24" s="163"/>
      <c r="C24" s="163"/>
      <c r="D24" s="163" t="s">
        <v>164</v>
      </c>
      <c r="E24" s="168"/>
      <c r="F24" s="168"/>
      <c r="G24" s="249">
        <f>('January 04'!$U$47)</f>
        <v>7.16032258064516</v>
      </c>
      <c r="H24" s="249">
        <f>('February 04'!$U$47)</f>
        <v>7.294482758620691</v>
      </c>
      <c r="I24" s="249">
        <f>('March 04'!$U$47)</f>
        <v>7.293225806451613</v>
      </c>
      <c r="J24" s="249">
        <f>('April 04'!$U$47)</f>
        <v>7.058666666666666</v>
      </c>
      <c r="K24" s="249">
        <f>('May 04'!$U$47)</f>
        <v>7.001612903225806</v>
      </c>
      <c r="L24" s="249">
        <f>('June 04'!$U$47)</f>
        <v>7.004666666666667</v>
      </c>
      <c r="M24" s="249">
        <f>('July 04'!$U$47)</f>
        <v>7.056129032258065</v>
      </c>
      <c r="N24" s="249">
        <f>('August 04'!$U$47)</f>
        <v>6.958064516129032</v>
      </c>
      <c r="O24" s="249">
        <f>('September 04'!$U$47)</f>
        <v>7.037333333333334</v>
      </c>
      <c r="P24" s="249">
        <f>('October 04'!$U$47)</f>
        <v>7.147096774193548</v>
      </c>
      <c r="Q24" s="249">
        <f>('November 04'!$U$47)</f>
        <v>7.247</v>
      </c>
      <c r="R24" s="249">
        <f>('December 04'!$U$47)</f>
        <v>7.079677419354839</v>
      </c>
      <c r="S24" s="244"/>
      <c r="T24" s="244" t="s">
        <v>150</v>
      </c>
      <c r="U24" s="249">
        <f>(IF(((SUM(G24:R24))=0)," ",(AVERAGE(G24:R24))))</f>
        <v>7.111523204795451</v>
      </c>
      <c r="V24" s="168" t="s">
        <v>175</v>
      </c>
      <c r="W24" s="163"/>
      <c r="X24" s="163"/>
      <c r="Y24" s="163"/>
      <c r="Z24" s="163"/>
      <c r="AA24" s="163" t="s">
        <v>164</v>
      </c>
      <c r="AB24" s="163"/>
      <c r="AC24" s="163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 ht="18" customHeight="1">
      <c r="A25" s="163"/>
      <c r="B25" s="163"/>
      <c r="C25" s="163"/>
      <c r="D25" s="163" t="s">
        <v>165</v>
      </c>
      <c r="E25" s="168"/>
      <c r="F25" s="168"/>
      <c r="G25" s="249">
        <f>('January 04'!$U$46)</f>
        <v>6.9</v>
      </c>
      <c r="H25" s="249">
        <f>('February 04'!$U$46)</f>
        <v>6.95</v>
      </c>
      <c r="I25" s="249">
        <f>('March 04'!$U$46)</f>
        <v>6.98</v>
      </c>
      <c r="J25" s="249">
        <f>('April 04'!$U$46)</f>
        <v>6.82</v>
      </c>
      <c r="K25" s="249">
        <f>('May 04'!$U$46)</f>
        <v>6.8</v>
      </c>
      <c r="L25" s="314">
        <f>('June 04'!$U$46)</f>
        <v>6.74</v>
      </c>
      <c r="M25" s="314">
        <f>('July 04'!$U$46)</f>
        <v>6.71</v>
      </c>
      <c r="N25" s="249">
        <f>('August 04'!$U$46)</f>
        <v>6.63</v>
      </c>
      <c r="O25" s="314">
        <f>('September 04'!$U$46)</f>
        <v>6.66</v>
      </c>
      <c r="P25" s="249">
        <f>('October 04'!$U$46)</f>
        <v>6.94</v>
      </c>
      <c r="Q25" s="249">
        <f>('November 04'!$U$46)</f>
        <v>6.8</v>
      </c>
      <c r="R25" s="249">
        <f>('December 04'!$U$46)</f>
        <v>6.84</v>
      </c>
      <c r="S25" s="245"/>
      <c r="T25" s="244" t="s">
        <v>150</v>
      </c>
      <c r="U25" s="249" t="s">
        <v>150</v>
      </c>
      <c r="V25" s="168"/>
      <c r="W25" s="163"/>
      <c r="X25" s="163"/>
      <c r="Y25" s="163"/>
      <c r="Z25" s="163"/>
      <c r="AA25" s="163" t="s">
        <v>166</v>
      </c>
      <c r="AB25" s="163"/>
      <c r="AC25" s="163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ht="18" customHeight="1">
      <c r="A26" s="163"/>
      <c r="B26" s="163"/>
      <c r="C26" s="163"/>
      <c r="D26" s="163"/>
      <c r="E26" s="168"/>
      <c r="F26" s="168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44"/>
      <c r="T26" s="244"/>
      <c r="U26" s="244"/>
      <c r="V26" s="168"/>
      <c r="W26" s="163"/>
      <c r="X26" s="163"/>
      <c r="Y26" s="163"/>
      <c r="Z26" s="163"/>
      <c r="AA26" s="163"/>
      <c r="AB26" s="163"/>
      <c r="AC26" s="163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ht="18" customHeight="1">
      <c r="A27" s="163"/>
      <c r="B27" s="163"/>
      <c r="C27" s="163" t="s">
        <v>85</v>
      </c>
      <c r="D27" s="163" t="s">
        <v>162</v>
      </c>
      <c r="E27" s="168" t="s">
        <v>175</v>
      </c>
      <c r="F27" s="168"/>
      <c r="G27" s="314">
        <f>('January 04'!$V$45)</f>
        <v>7.3</v>
      </c>
      <c r="H27" s="314">
        <f>('February 04'!$V$45)</f>
        <v>7.34</v>
      </c>
      <c r="I27" s="314">
        <f>('March 04'!$V$45)</f>
        <v>7.33</v>
      </c>
      <c r="J27" s="249">
        <f>('April 04'!$V$45)</f>
        <v>7.17</v>
      </c>
      <c r="K27" s="249">
        <f>('May 04'!$V$45)</f>
        <v>7.11</v>
      </c>
      <c r="L27" s="249">
        <f>('June 04'!$V$45)</f>
        <v>7.06</v>
      </c>
      <c r="M27" s="249">
        <f>('July 04'!$V$45)</f>
        <v>7.08</v>
      </c>
      <c r="N27" s="249">
        <f>('August 04'!$V$45)</f>
        <v>7.02</v>
      </c>
      <c r="O27" s="249">
        <f>('September 04'!$V$45)</f>
        <v>7.05</v>
      </c>
      <c r="P27" s="249">
        <f>('October 04'!$V$45)</f>
        <v>7.11</v>
      </c>
      <c r="Q27" s="314">
        <f>('November 04'!$V$45)</f>
        <v>7.34</v>
      </c>
      <c r="R27" s="249">
        <f>('December 04'!$V$45)</f>
        <v>7.16</v>
      </c>
      <c r="S27" s="244"/>
      <c r="T27" s="244" t="s">
        <v>150</v>
      </c>
      <c r="U27" s="249" t="s">
        <v>150</v>
      </c>
      <c r="V27" s="168"/>
      <c r="W27" s="163"/>
      <c r="X27" s="163"/>
      <c r="Y27" s="163"/>
      <c r="Z27" s="163"/>
      <c r="AA27" s="163" t="s">
        <v>163</v>
      </c>
      <c r="AB27" s="163"/>
      <c r="AC27" s="163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ht="18" customHeight="1">
      <c r="A28" s="163"/>
      <c r="B28" s="163"/>
      <c r="C28" s="163"/>
      <c r="D28" s="163" t="s">
        <v>164</v>
      </c>
      <c r="E28" s="168"/>
      <c r="F28" s="168"/>
      <c r="G28" s="249">
        <f>('January 04'!$V$47)</f>
        <v>7.099999999999996</v>
      </c>
      <c r="H28" s="249">
        <f>('February 04'!$V$47)</f>
        <v>7.203448275862071</v>
      </c>
      <c r="I28" s="249">
        <f>('March 04'!$V$47)</f>
        <v>7.167096774193547</v>
      </c>
      <c r="J28" s="249">
        <f>('April 04'!$V$47)</f>
        <v>7.015666666666666</v>
      </c>
      <c r="K28" s="249">
        <f>('May 04'!$V$47)</f>
        <v>6.932903225806452</v>
      </c>
      <c r="L28" s="249">
        <f>('June 04'!$V$47)</f>
        <v>6.933666666666665</v>
      </c>
      <c r="M28" s="249">
        <f>('July 04'!$V$47)</f>
        <v>6.886451612903225</v>
      </c>
      <c r="N28" s="249">
        <f>('August 04'!$V$47)</f>
        <v>6.86451612903226</v>
      </c>
      <c r="O28" s="249">
        <f>('September 04'!$V$47)</f>
        <v>6.896666666666665</v>
      </c>
      <c r="P28" s="249">
        <f>('October 04'!$V$47)</f>
        <v>7.0206451612903225</v>
      </c>
      <c r="Q28" s="249">
        <f>('November 04'!$V$47)</f>
        <v>7.023666666666668</v>
      </c>
      <c r="R28" s="249">
        <f>('December 04'!$V$47)</f>
        <v>7.035161290322581</v>
      </c>
      <c r="S28" s="244"/>
      <c r="T28" s="244" t="s">
        <v>150</v>
      </c>
      <c r="U28" s="249">
        <f>(IF(((SUM(G28:R28))=0)," ",(AVERAGE(G28:R28))))</f>
        <v>7.006657428006426</v>
      </c>
      <c r="V28" s="168" t="s">
        <v>175</v>
      </c>
      <c r="W28" s="163"/>
      <c r="X28" s="163"/>
      <c r="Y28" s="163"/>
      <c r="Z28" s="163"/>
      <c r="AA28" s="163" t="s">
        <v>164</v>
      </c>
      <c r="AB28" s="163"/>
      <c r="AC28" s="163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ht="18" customHeight="1">
      <c r="A29" s="163"/>
      <c r="B29" s="163"/>
      <c r="C29" s="163"/>
      <c r="D29" s="163" t="s">
        <v>165</v>
      </c>
      <c r="E29" s="168"/>
      <c r="F29" s="168"/>
      <c r="G29" s="249">
        <f>('January 04'!$V$46)</f>
        <v>6.8</v>
      </c>
      <c r="H29" s="249">
        <f>('February 04'!$V$46)</f>
        <v>7.12</v>
      </c>
      <c r="I29" s="249">
        <f>('March 04'!$V$46)</f>
        <v>6.7</v>
      </c>
      <c r="J29" s="249">
        <f>('April 04'!$V$46)</f>
        <v>6.86</v>
      </c>
      <c r="K29" s="249">
        <f>('May 04'!$V$46)</f>
        <v>6.61</v>
      </c>
      <c r="L29" s="249">
        <f>('June 04'!$V$46)</f>
        <v>6.77</v>
      </c>
      <c r="M29" s="249">
        <f>('July 04'!$V$46)</f>
        <v>6.25</v>
      </c>
      <c r="N29" s="249">
        <f>('August 04'!$V$46)</f>
        <v>6.71</v>
      </c>
      <c r="O29" s="249">
        <f>('September 04'!$V$46)</f>
        <v>6.77</v>
      </c>
      <c r="P29" s="249">
        <f>('October 04'!$V$46)</f>
        <v>6.88</v>
      </c>
      <c r="Q29" s="314">
        <f>('November 04'!$V$46)</f>
        <v>5.73</v>
      </c>
      <c r="R29" s="249">
        <f>('December 04'!$V$46)</f>
        <v>6.85</v>
      </c>
      <c r="S29" s="244"/>
      <c r="T29" s="244" t="s">
        <v>150</v>
      </c>
      <c r="U29" s="249" t="s">
        <v>150</v>
      </c>
      <c r="V29" s="168"/>
      <c r="W29" s="163"/>
      <c r="X29" s="163"/>
      <c r="Y29" s="163"/>
      <c r="Z29" s="163"/>
      <c r="AA29" s="163" t="s">
        <v>166</v>
      </c>
      <c r="AB29" s="163"/>
      <c r="AC29" s="16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P29" s="4"/>
      <c r="BR29" s="4"/>
      <c r="BV29" s="4"/>
      <c r="CA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ht="18" customHeight="1">
      <c r="A30" s="163"/>
      <c r="B30" s="163"/>
      <c r="C30" s="163"/>
      <c r="D30" s="163"/>
      <c r="E30" s="168"/>
      <c r="F30" s="168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44"/>
      <c r="T30" s="244"/>
      <c r="U30" s="244"/>
      <c r="V30" s="168"/>
      <c r="W30" s="163"/>
      <c r="X30" s="163"/>
      <c r="Y30" s="163"/>
      <c r="Z30" s="163"/>
      <c r="AA30" s="163"/>
      <c r="AB30" s="163"/>
      <c r="AC30" s="163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ht="18" customHeight="1">
      <c r="A31" s="163"/>
      <c r="B31" s="163"/>
      <c r="C31" s="163" t="s">
        <v>86</v>
      </c>
      <c r="D31" s="163" t="s">
        <v>162</v>
      </c>
      <c r="E31" s="168" t="s">
        <v>175</v>
      </c>
      <c r="F31" s="168"/>
      <c r="G31" s="249">
        <f>('January 04'!$W$45)</f>
        <v>7.6</v>
      </c>
      <c r="H31" s="249">
        <f>('February 04'!$W$45)</f>
        <v>7.26</v>
      </c>
      <c r="I31" s="314">
        <f>('March 04'!$W$45)</f>
        <v>8.21</v>
      </c>
      <c r="J31" s="249">
        <f>('April 04'!$W$45)</f>
        <v>7.4</v>
      </c>
      <c r="K31" s="249">
        <f>('May 04'!$W$45)</f>
        <v>6.55</v>
      </c>
      <c r="L31" s="249">
        <f>('June 04'!$W$45)</f>
        <v>6.79</v>
      </c>
      <c r="M31" s="249">
        <f>('July 04'!$W$45)</f>
        <v>6.68</v>
      </c>
      <c r="N31" s="249">
        <f>('August 04'!$W$45)</f>
        <v>6.8</v>
      </c>
      <c r="O31" s="249">
        <f>('September 04'!$W$45)</f>
        <v>6.85</v>
      </c>
      <c r="P31" s="249">
        <f>('October 04'!$W$45)</f>
        <v>7.26</v>
      </c>
      <c r="Q31" s="249">
        <f>('November 04'!$W$45)</f>
        <v>7.47</v>
      </c>
      <c r="R31" s="249">
        <f>('December 04'!$W$45)</f>
        <v>7.16</v>
      </c>
      <c r="S31" s="244"/>
      <c r="T31" s="244" t="s">
        <v>150</v>
      </c>
      <c r="U31" s="314">
        <f>(IF(((SUM(G31:R31))=0)," ",(MAX(G31:R31))))</f>
        <v>8.21</v>
      </c>
      <c r="V31" s="168"/>
      <c r="W31" s="163"/>
      <c r="X31" s="321">
        <v>9</v>
      </c>
      <c r="Y31" s="163"/>
      <c r="Z31" s="163"/>
      <c r="AA31" s="163" t="s">
        <v>163</v>
      </c>
      <c r="AB31" s="163"/>
      <c r="AC31" s="163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ht="18" customHeight="1">
      <c r="A32" s="163"/>
      <c r="B32" s="163"/>
      <c r="C32" s="163"/>
      <c r="D32" s="163" t="s">
        <v>164</v>
      </c>
      <c r="E32" s="168"/>
      <c r="F32" s="168"/>
      <c r="G32" s="249">
        <f>('January 04'!$W$47)</f>
        <v>6.559032258064515</v>
      </c>
      <c r="H32" s="249">
        <f>('February 04'!$W$47)</f>
        <v>6.428275862068965</v>
      </c>
      <c r="I32" s="249">
        <f>('March 04'!$W$47)</f>
        <v>6.737096774193551</v>
      </c>
      <c r="J32" s="249">
        <f>('April 04'!$W$47)</f>
        <v>6.5536666666666665</v>
      </c>
      <c r="K32" s="249">
        <f>('May 04'!$W$47)</f>
        <v>6.401290322580645</v>
      </c>
      <c r="L32" s="249">
        <f>('June 04'!$W$47)</f>
        <v>6.4899999999999975</v>
      </c>
      <c r="M32" s="249">
        <f>('July 04'!$W$47)</f>
        <v>6.515483870967743</v>
      </c>
      <c r="N32" s="249">
        <f>('August 04'!$W$47)</f>
        <v>6.542903225806453</v>
      </c>
      <c r="O32" s="249">
        <f>('September 04'!$W$47)</f>
        <v>6.542666666666668</v>
      </c>
      <c r="P32" s="249">
        <f>('October 04'!$W$47)</f>
        <v>6.700967741935484</v>
      </c>
      <c r="Q32" s="249">
        <f>('November 04'!$W$47)</f>
        <v>6.921</v>
      </c>
      <c r="R32" s="249">
        <f>('December 04'!$W$47)</f>
        <v>6.825483870967742</v>
      </c>
      <c r="S32" s="244"/>
      <c r="T32" s="244" t="s">
        <v>150</v>
      </c>
      <c r="U32" s="249">
        <f>(IF(((SUM(G32:R32))=0)," ",(AVERAGE(G32:R32))))</f>
        <v>6.601488938326536</v>
      </c>
      <c r="V32" s="168" t="s">
        <v>175</v>
      </c>
      <c r="W32" s="163"/>
      <c r="X32" s="163"/>
      <c r="Y32" s="163"/>
      <c r="Z32" s="163"/>
      <c r="AA32" s="163" t="s">
        <v>164</v>
      </c>
      <c r="AB32" s="163"/>
      <c r="AC32" s="16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ht="18" customHeight="1">
      <c r="A33" s="163"/>
      <c r="B33" s="163"/>
      <c r="C33" s="163"/>
      <c r="D33" s="163" t="s">
        <v>165</v>
      </c>
      <c r="E33" s="168"/>
      <c r="F33" s="168"/>
      <c r="G33" s="249">
        <f>('January 04'!$W$46)</f>
        <v>6.1</v>
      </c>
      <c r="H33" s="314">
        <f>('February 04'!$W$46)</f>
        <v>5.97</v>
      </c>
      <c r="I33" s="314">
        <f>('March 04'!$W$46)</f>
        <v>6.02</v>
      </c>
      <c r="J33" s="249">
        <f>('April 04'!$W$46)</f>
        <v>6.06</v>
      </c>
      <c r="K33" s="249">
        <f>('May 04'!$W$46)</f>
        <v>6.22</v>
      </c>
      <c r="L33" s="249">
        <f>('June 04'!$W$46)</f>
        <v>6.27</v>
      </c>
      <c r="M33" s="249">
        <f>('July 04'!$W$46)</f>
        <v>6.31</v>
      </c>
      <c r="N33" s="249">
        <f>('August 04'!$W$46)</f>
        <v>6.35</v>
      </c>
      <c r="O33" s="249">
        <f>('September 04'!$W$46)</f>
        <v>6.22</v>
      </c>
      <c r="P33" s="249">
        <f>('October 04'!$W$46)</f>
        <v>6.16</v>
      </c>
      <c r="Q33" s="249">
        <f>('November 04'!$W$46)</f>
        <v>6.44</v>
      </c>
      <c r="R33" s="249">
        <f>('December 04'!$W$46)</f>
        <v>6.1</v>
      </c>
      <c r="S33" s="244"/>
      <c r="T33" s="244" t="s">
        <v>150</v>
      </c>
      <c r="U33" s="314">
        <f>(IF(((SUM(G33:R33))=0)," ",(MIN(G33:R33))))</f>
        <v>5.97</v>
      </c>
      <c r="V33" s="168"/>
      <c r="W33" s="163"/>
      <c r="X33" s="321">
        <v>6</v>
      </c>
      <c r="Y33" s="163"/>
      <c r="Z33" s="163"/>
      <c r="AA33" s="163" t="s">
        <v>166</v>
      </c>
      <c r="AB33" s="163"/>
      <c r="AC33" s="16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18" customHeight="1">
      <c r="A34" s="163"/>
      <c r="B34" s="163"/>
      <c r="C34" s="163"/>
      <c r="D34" s="163"/>
      <c r="E34" s="168"/>
      <c r="F34" s="168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66"/>
      <c r="T34" s="166"/>
      <c r="U34" s="166"/>
      <c r="V34" s="168"/>
      <c r="W34" s="163"/>
      <c r="X34" s="163"/>
      <c r="Y34" s="163"/>
      <c r="Z34" s="163"/>
      <c r="AA34" s="163"/>
      <c r="AB34" s="163"/>
      <c r="AC34" s="16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P34" s="4"/>
      <c r="BR34" s="4"/>
      <c r="BV34" s="4"/>
      <c r="CA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18" customHeight="1">
      <c r="A35" s="163"/>
      <c r="B35" s="163" t="s">
        <v>7</v>
      </c>
      <c r="C35" s="163"/>
      <c r="D35" s="163"/>
      <c r="E35" s="168"/>
      <c r="F35" s="168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66"/>
      <c r="T35" s="166"/>
      <c r="U35" s="166"/>
      <c r="V35" s="168"/>
      <c r="W35" s="163"/>
      <c r="X35" s="163"/>
      <c r="Y35" s="163"/>
      <c r="Z35" s="163"/>
      <c r="AA35" s="163"/>
      <c r="AB35" s="163"/>
      <c r="AC35" s="16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18" customHeight="1">
      <c r="A36" s="163"/>
      <c r="B36" s="163"/>
      <c r="C36" s="163" t="s">
        <v>84</v>
      </c>
      <c r="D36" s="163" t="s">
        <v>162</v>
      </c>
      <c r="E36" s="168" t="s">
        <v>176</v>
      </c>
      <c r="F36" s="168"/>
      <c r="G36" s="248">
        <f>('January 04'!$Y$45)</f>
        <v>13</v>
      </c>
      <c r="H36" s="248">
        <f>('February 04'!$Y$45)</f>
        <v>11.1</v>
      </c>
      <c r="I36" s="248">
        <f>('March 04'!$Y$45)</f>
        <v>11.6</v>
      </c>
      <c r="J36" s="248">
        <f>('April 04'!$Y$45)</f>
        <v>11.6</v>
      </c>
      <c r="K36" s="248">
        <f>('May 04'!$Y$45)</f>
        <v>15.4</v>
      </c>
      <c r="L36" s="248">
        <f>('June 04'!$Y$45)</f>
        <v>15.8</v>
      </c>
      <c r="M36" s="248">
        <f>('July 04'!$Y$45)</f>
        <v>17.7</v>
      </c>
      <c r="N36" s="313">
        <f>('August 04'!$Y$45)</f>
        <v>18.9</v>
      </c>
      <c r="O36" s="313">
        <f>('September 04'!$Y$45)</f>
        <v>18.5</v>
      </c>
      <c r="P36" s="248">
        <f>('October 04'!$Y$45)</f>
        <v>17.9</v>
      </c>
      <c r="Q36" s="248">
        <f>('November 04'!$Y$45)</f>
        <v>16.4</v>
      </c>
      <c r="R36" s="248">
        <f>('December 04'!$Y$45)</f>
        <v>14.3</v>
      </c>
      <c r="S36" s="243"/>
      <c r="T36" s="243" t="s">
        <v>150</v>
      </c>
      <c r="U36" s="248" t="s">
        <v>150</v>
      </c>
      <c r="V36" s="168"/>
      <c r="W36" s="163"/>
      <c r="X36" s="163"/>
      <c r="Y36" s="163"/>
      <c r="Z36" s="163"/>
      <c r="AA36" s="163" t="s">
        <v>163</v>
      </c>
      <c r="AB36" s="163"/>
      <c r="AC36" s="163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ht="18" customHeight="1">
      <c r="A37" s="163"/>
      <c r="B37" s="163"/>
      <c r="C37" s="163"/>
      <c r="D37" s="163" t="s">
        <v>164</v>
      </c>
      <c r="E37" s="168"/>
      <c r="F37" s="168"/>
      <c r="G37" s="248">
        <f>('January 04'!$Y$47)</f>
        <v>11.225806451612904</v>
      </c>
      <c r="H37" s="248">
        <f>('February 04'!$Y$47)</f>
        <v>10.534482758620692</v>
      </c>
      <c r="I37" s="248">
        <f>('March 04'!$Y$47)</f>
        <v>10.551612903225806</v>
      </c>
      <c r="J37" s="248">
        <f>('April 04'!$Y$47)</f>
        <v>10.723333333333333</v>
      </c>
      <c r="K37" s="248">
        <f>('May 04'!$Y$47)</f>
        <v>12.83548387096774</v>
      </c>
      <c r="L37" s="248">
        <f>('June 04'!$Y$47)</f>
        <v>14.440000000000001</v>
      </c>
      <c r="M37" s="248">
        <f>('July 04'!$Y$47)</f>
        <v>16.18387096774193</v>
      </c>
      <c r="N37" s="248">
        <f>('August 04'!$Y$47)</f>
        <v>17.483870967741932</v>
      </c>
      <c r="O37" s="248">
        <f>('September 04'!$Y$47)</f>
        <v>17.72666666666667</v>
      </c>
      <c r="P37" s="248">
        <f>('October 04'!$Y$47)</f>
        <v>16.780645161290323</v>
      </c>
      <c r="Q37" s="248">
        <f>('November 04'!$Y$47)</f>
        <v>15.09666666666667</v>
      </c>
      <c r="R37" s="248">
        <f>('December 04'!$Y$47)</f>
        <v>12.83548387096774</v>
      </c>
      <c r="S37" s="243"/>
      <c r="T37" s="243" t="s">
        <v>150</v>
      </c>
      <c r="U37" s="248">
        <f>(IF(((SUM(G37:R37))=0)," ",(AVERAGE(G37:R37))))</f>
        <v>13.868160301569645</v>
      </c>
      <c r="V37" s="168" t="s">
        <v>176</v>
      </c>
      <c r="W37" s="163"/>
      <c r="X37" s="163"/>
      <c r="Y37" s="163"/>
      <c r="Z37" s="163"/>
      <c r="AA37" s="163" t="s">
        <v>164</v>
      </c>
      <c r="AB37" s="163"/>
      <c r="AC37" s="163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18" customHeight="1">
      <c r="A38" s="163"/>
      <c r="B38" s="163"/>
      <c r="C38" s="163"/>
      <c r="D38" s="163" t="s">
        <v>165</v>
      </c>
      <c r="E38" s="168"/>
      <c r="F38" s="168"/>
      <c r="G38" s="313">
        <f>('January 04'!$Y$46)</f>
        <v>10</v>
      </c>
      <c r="H38" s="313">
        <f>('February 04'!$Y$46)</f>
        <v>9.7</v>
      </c>
      <c r="I38" s="313">
        <f>('March 04'!$Y$46)</f>
        <v>10</v>
      </c>
      <c r="J38" s="313">
        <f>('April 04'!$Y$46)</f>
        <v>9.8</v>
      </c>
      <c r="K38" s="248">
        <f>('May 04'!$Y$46)</f>
        <v>11.2</v>
      </c>
      <c r="L38" s="248">
        <f>('June 04'!$Y$46)</f>
        <v>13.1</v>
      </c>
      <c r="M38" s="248">
        <f>('July 04'!$Y$46)</f>
        <v>14.9</v>
      </c>
      <c r="N38" s="248">
        <f>('August 04'!$Y$46)</f>
        <v>16.5</v>
      </c>
      <c r="O38" s="248">
        <f>('September 04'!$Y$46)</f>
        <v>16.5</v>
      </c>
      <c r="P38" s="248">
        <f>('October 04'!$Y$46)</f>
        <v>15.4</v>
      </c>
      <c r="Q38" s="248">
        <f>('November 04'!$Y$46)</f>
        <v>13.8</v>
      </c>
      <c r="R38" s="248">
        <f>('December 04'!$Y$46)</f>
        <v>11.4</v>
      </c>
      <c r="S38" s="243"/>
      <c r="T38" s="243" t="s">
        <v>150</v>
      </c>
      <c r="U38" s="248" t="s">
        <v>150</v>
      </c>
      <c r="V38" s="168"/>
      <c r="W38" s="163"/>
      <c r="X38" s="163"/>
      <c r="Y38" s="163"/>
      <c r="Z38" s="163"/>
      <c r="AA38" s="163" t="s">
        <v>166</v>
      </c>
      <c r="AB38" s="163"/>
      <c r="AC38" s="163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ht="18" customHeight="1">
      <c r="A39" s="163"/>
      <c r="B39" s="163"/>
      <c r="C39" s="163"/>
      <c r="D39" s="163"/>
      <c r="E39" s="168"/>
      <c r="F39" s="168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43"/>
      <c r="T39" s="243"/>
      <c r="U39" s="243"/>
      <c r="V39" s="168"/>
      <c r="W39" s="163"/>
      <c r="X39" s="163"/>
      <c r="Y39" s="163"/>
      <c r="Z39" s="163"/>
      <c r="AA39" s="163"/>
      <c r="AB39" s="163"/>
      <c r="AC39" s="163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P39" s="4"/>
      <c r="BR39" s="4"/>
      <c r="BV39" s="4"/>
      <c r="CA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ht="18" customHeight="1">
      <c r="A40" s="163"/>
      <c r="B40" s="163"/>
      <c r="C40" s="163" t="s">
        <v>85</v>
      </c>
      <c r="D40" s="163" t="s">
        <v>162</v>
      </c>
      <c r="E40" s="168" t="s">
        <v>176</v>
      </c>
      <c r="F40" s="168"/>
      <c r="G40" s="248">
        <f>('January 04'!$Z$45)</f>
        <v>11</v>
      </c>
      <c r="H40" s="248">
        <f>('February 04'!$Z$45)</f>
        <v>11.1</v>
      </c>
      <c r="I40" s="248">
        <f>('March 04'!$Z$45)</f>
        <v>10.9</v>
      </c>
      <c r="J40" s="248">
        <f>('April 04'!$Z$45)</f>
        <v>12.1</v>
      </c>
      <c r="K40" s="248">
        <f>('May 04'!$Z$45)</f>
        <v>14.7</v>
      </c>
      <c r="L40" s="248">
        <f>('June 04'!$Z$45)</f>
        <v>15.8</v>
      </c>
      <c r="M40" s="248">
        <f>('July 04'!$Z$45)</f>
        <v>17.4</v>
      </c>
      <c r="N40" s="313">
        <f>('August 04'!$Z$45)</f>
        <v>18.7</v>
      </c>
      <c r="O40" s="313">
        <f>('September 04'!$Z$45)</f>
        <v>18.6</v>
      </c>
      <c r="P40" s="248">
        <f>('October 04'!$Z$45)</f>
        <v>17.6</v>
      </c>
      <c r="Q40" s="248">
        <f>('November 04'!$Z$45)</f>
        <v>16.3</v>
      </c>
      <c r="R40" s="248">
        <f>('December 04'!$Z$45)</f>
        <v>14.3</v>
      </c>
      <c r="S40" s="243"/>
      <c r="T40" s="243" t="s">
        <v>150</v>
      </c>
      <c r="U40" s="248" t="s">
        <v>150</v>
      </c>
      <c r="V40" s="168"/>
      <c r="W40" s="163"/>
      <c r="X40" s="163"/>
      <c r="Y40" s="163"/>
      <c r="Z40" s="163"/>
      <c r="AA40" s="163" t="s">
        <v>163</v>
      </c>
      <c r="AB40" s="163"/>
      <c r="AC40" s="163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ht="18" customHeight="1">
      <c r="A41" s="163"/>
      <c r="B41" s="163"/>
      <c r="C41" s="163"/>
      <c r="D41" s="163" t="s">
        <v>164</v>
      </c>
      <c r="E41" s="168"/>
      <c r="F41" s="168"/>
      <c r="G41" s="248">
        <f>('January 04'!$Z$47)</f>
        <v>10.129032258064516</v>
      </c>
      <c r="H41" s="248">
        <f>('February 04'!$Z$47)</f>
        <v>9.765517241379309</v>
      </c>
      <c r="I41" s="248">
        <f>('March 04'!$Z$47)</f>
        <v>10.267741935483873</v>
      </c>
      <c r="J41" s="248">
        <f>('April 04'!$Z$47)</f>
        <v>10.496666666666666</v>
      </c>
      <c r="K41" s="248">
        <f>('May 04'!$Z$47)</f>
        <v>12.770967741935483</v>
      </c>
      <c r="L41" s="248">
        <f>('June 04'!$Z$47)</f>
        <v>14.456666666666669</v>
      </c>
      <c r="M41" s="248">
        <f>('July 04'!$Z$47)</f>
        <v>16.458064516129035</v>
      </c>
      <c r="N41" s="248">
        <f>('August 04'!$Z$47)</f>
        <v>17.580645161290324</v>
      </c>
      <c r="O41" s="248">
        <f>('September 04'!$Z$47)</f>
        <v>17.743333333333336</v>
      </c>
      <c r="P41" s="248">
        <f>('October 04'!$Z$47)</f>
        <v>16.6</v>
      </c>
      <c r="Q41" s="248">
        <f>('November 04'!$Z$47)</f>
        <v>14.646666666666667</v>
      </c>
      <c r="R41" s="248">
        <f>('December 04'!$Z$47)</f>
        <v>12.119354838709679</v>
      </c>
      <c r="S41" s="243"/>
      <c r="T41" s="243" t="s">
        <v>150</v>
      </c>
      <c r="U41" s="248">
        <f>(IF(((SUM(G41:R41))=0)," ",(AVERAGE(G41:R41))))</f>
        <v>13.586221418860463</v>
      </c>
      <c r="V41" s="168" t="s">
        <v>176</v>
      </c>
      <c r="W41" s="163"/>
      <c r="X41" s="163"/>
      <c r="Y41" s="163"/>
      <c r="Z41" s="163"/>
      <c r="AA41" s="163" t="s">
        <v>164</v>
      </c>
      <c r="AB41" s="163"/>
      <c r="AC41" s="163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 ht="18" customHeight="1">
      <c r="A42" s="163"/>
      <c r="B42" s="163"/>
      <c r="C42" s="163"/>
      <c r="D42" s="163" t="s">
        <v>165</v>
      </c>
      <c r="E42" s="168"/>
      <c r="F42" s="168"/>
      <c r="G42" s="313">
        <f>('January 04'!$Z$46)</f>
        <v>7</v>
      </c>
      <c r="H42" s="313">
        <f>('February 04'!$Z$46)</f>
        <v>6.9</v>
      </c>
      <c r="I42" s="248">
        <f>('March 04'!$Z$46)</f>
        <v>9.5</v>
      </c>
      <c r="J42" s="248">
        <f>('April 04'!$Z$46)</f>
        <v>9.5</v>
      </c>
      <c r="K42" s="248">
        <f>('May 04'!$Z$46)</f>
        <v>11.3</v>
      </c>
      <c r="L42" s="248">
        <f>('June 04'!$Z$46)</f>
        <v>12.9</v>
      </c>
      <c r="M42" s="248">
        <f>('July 04'!$Z$46)</f>
        <v>15.5</v>
      </c>
      <c r="N42" s="248">
        <f>('August 04'!$Z$46)</f>
        <v>17.1</v>
      </c>
      <c r="O42" s="248">
        <f>('September 04'!$Z$46)</f>
        <v>17</v>
      </c>
      <c r="P42" s="248">
        <f>('October 04'!$Z$46)</f>
        <v>15.5</v>
      </c>
      <c r="Q42" s="248">
        <f>('November 04'!$Z$46)</f>
        <v>13.4</v>
      </c>
      <c r="R42" s="248">
        <f>('December 04'!$Z$46)</f>
        <v>10.5</v>
      </c>
      <c r="S42" s="243"/>
      <c r="T42" s="243" t="s">
        <v>150</v>
      </c>
      <c r="U42" s="248" t="s">
        <v>150</v>
      </c>
      <c r="V42" s="168"/>
      <c r="W42" s="163"/>
      <c r="X42" s="163"/>
      <c r="Y42" s="163"/>
      <c r="Z42" s="163"/>
      <c r="AA42" s="163" t="s">
        <v>166</v>
      </c>
      <c r="AB42" s="163"/>
      <c r="AC42" s="163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1:96" ht="18" customHeight="1">
      <c r="A43" s="163"/>
      <c r="B43" s="163"/>
      <c r="C43" s="163"/>
      <c r="D43" s="163"/>
      <c r="E43" s="168"/>
      <c r="F43" s="168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43"/>
      <c r="T43" s="243"/>
      <c r="U43" s="243"/>
      <c r="V43" s="168"/>
      <c r="W43" s="163"/>
      <c r="X43" s="163"/>
      <c r="Y43" s="163"/>
      <c r="Z43" s="163"/>
      <c r="AA43" s="163"/>
      <c r="AB43" s="163"/>
      <c r="AC43" s="163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1:96" ht="18" customHeight="1">
      <c r="A44" s="163"/>
      <c r="B44" s="163"/>
      <c r="C44" s="163" t="s">
        <v>86</v>
      </c>
      <c r="D44" s="163" t="s">
        <v>162</v>
      </c>
      <c r="E44" s="168" t="s">
        <v>176</v>
      </c>
      <c r="F44" s="168"/>
      <c r="G44" s="248">
        <f>('January 04'!$AA$45)</f>
        <v>12</v>
      </c>
      <c r="H44" s="248">
        <f>('February 04'!$AA$45)</f>
        <v>11.3</v>
      </c>
      <c r="I44" s="248">
        <f>('March 04'!$AA$45)</f>
        <v>11.5</v>
      </c>
      <c r="J44" s="248">
        <f>('April 04'!$AA$45)</f>
        <v>12.9</v>
      </c>
      <c r="K44" s="248">
        <f>('May 04'!$AA$45)</f>
        <v>16</v>
      </c>
      <c r="L44" s="248">
        <f>('June 04'!$AA$45)</f>
        <v>17</v>
      </c>
      <c r="M44" s="248">
        <f>('July 04'!$AA$45)</f>
        <v>19.2</v>
      </c>
      <c r="N44" s="313">
        <f>('August 04'!$AA$45)</f>
        <v>19.7</v>
      </c>
      <c r="O44" s="313">
        <f>('September 04'!$AA$45)</f>
        <v>19.9</v>
      </c>
      <c r="P44" s="248">
        <f>('October 04'!$AA$45)</f>
        <v>18.4</v>
      </c>
      <c r="Q44" s="248">
        <f>('November 04'!$AA$45)</f>
        <v>16.9</v>
      </c>
      <c r="R44" s="248">
        <f>('December 04'!$AA$45)</f>
        <v>14.5</v>
      </c>
      <c r="S44" s="243"/>
      <c r="T44" s="243" t="s">
        <v>150</v>
      </c>
      <c r="U44" s="248" t="s">
        <v>150</v>
      </c>
      <c r="V44" s="168"/>
      <c r="W44" s="163"/>
      <c r="X44" s="163"/>
      <c r="Y44" s="163"/>
      <c r="Z44" s="163"/>
      <c r="AA44" s="163" t="s">
        <v>163</v>
      </c>
      <c r="AB44" s="163"/>
      <c r="AC44" s="163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P44" s="4"/>
      <c r="BR44" s="4"/>
      <c r="BV44" s="4"/>
      <c r="CA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ht="18" customHeight="1">
      <c r="A45" s="163"/>
      <c r="B45" s="163"/>
      <c r="C45" s="163"/>
      <c r="D45" s="163" t="s">
        <v>164</v>
      </c>
      <c r="E45" s="168"/>
      <c r="F45" s="168"/>
      <c r="G45" s="248">
        <f>('January 04'!$AA$47)</f>
        <v>9.35483870967742</v>
      </c>
      <c r="H45" s="248">
        <f>('February 04'!$AA$47)</f>
        <v>9.820689655172414</v>
      </c>
      <c r="I45" s="248">
        <f>('March 04'!$AA$47)</f>
        <v>10.596774193548386</v>
      </c>
      <c r="J45" s="248">
        <f>('April 04'!$AA$47)</f>
        <v>11.330000000000002</v>
      </c>
      <c r="K45" s="248">
        <f>('May 04'!$AA$47)</f>
        <v>13.932258064516128</v>
      </c>
      <c r="L45" s="248">
        <f>('June 04'!$AA$47)</f>
        <v>15.686666666666662</v>
      </c>
      <c r="M45" s="248">
        <f>('July 04'!$AA$47)</f>
        <v>17.95483870967742</v>
      </c>
      <c r="N45" s="248">
        <f>('August 04'!$AA$47)</f>
        <v>18.809677419354838</v>
      </c>
      <c r="O45" s="248">
        <f>('September 04'!$AA$47)</f>
        <v>18.73333333333333</v>
      </c>
      <c r="P45" s="248">
        <f>('October 04'!$AA$47)</f>
        <v>17.11612903225806</v>
      </c>
      <c r="Q45" s="248">
        <f>('November 04'!$AA$47)</f>
        <v>14.656666666666665</v>
      </c>
      <c r="R45" s="248">
        <f>('December 04'!$AA$47)</f>
        <v>11.941935483870967</v>
      </c>
      <c r="S45" s="243"/>
      <c r="T45" s="243" t="s">
        <v>150</v>
      </c>
      <c r="U45" s="248">
        <f>(IF(((SUM(G45:R45))=0)," ",(AVERAGE(G45:R45))))</f>
        <v>14.161150661228525</v>
      </c>
      <c r="V45" s="168" t="s">
        <v>176</v>
      </c>
      <c r="W45" s="163"/>
      <c r="X45" s="163"/>
      <c r="Y45" s="163"/>
      <c r="Z45" s="163"/>
      <c r="AA45" s="163" t="s">
        <v>164</v>
      </c>
      <c r="AB45" s="163"/>
      <c r="AC45" s="16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ht="18" customHeight="1">
      <c r="A46" s="163"/>
      <c r="B46" s="163"/>
      <c r="C46" s="163"/>
      <c r="D46" s="163" t="s">
        <v>165</v>
      </c>
      <c r="E46" s="168"/>
      <c r="F46" s="168"/>
      <c r="G46" s="313">
        <f>('January 04'!$AA$46)</f>
        <v>6</v>
      </c>
      <c r="H46" s="248">
        <f>('February 04'!$AA$46)</f>
        <v>7.5</v>
      </c>
      <c r="I46" s="248">
        <f>('March 04'!$AA$46)</f>
        <v>9.2</v>
      </c>
      <c r="J46" s="248">
        <f>('April 04'!$AA$46)</f>
        <v>9.9</v>
      </c>
      <c r="K46" s="248">
        <f>('May 04'!$AA$46)</f>
        <v>12.2</v>
      </c>
      <c r="L46" s="248">
        <f>('June 04'!$AA$46)</f>
        <v>13.9</v>
      </c>
      <c r="M46" s="248">
        <f>('July 04'!$AA$46)</f>
        <v>17</v>
      </c>
      <c r="N46" s="248">
        <f>('August 04'!$AA$46)</f>
        <v>18</v>
      </c>
      <c r="O46" s="248">
        <f>('September 04'!$AA$46)</f>
        <v>17.1</v>
      </c>
      <c r="P46" s="248">
        <f>('October 04'!$AA$46)</f>
        <v>15.3</v>
      </c>
      <c r="Q46" s="248">
        <f>('November 04'!$AA$46)</f>
        <v>12.9</v>
      </c>
      <c r="R46" s="248">
        <f>('December 04'!$AA$46)</f>
        <v>9.3</v>
      </c>
      <c r="S46" s="243"/>
      <c r="T46" s="243" t="s">
        <v>150</v>
      </c>
      <c r="U46" s="248" t="s">
        <v>150</v>
      </c>
      <c r="V46" s="168"/>
      <c r="W46" s="163"/>
      <c r="X46" s="163"/>
      <c r="Y46" s="163"/>
      <c r="Z46" s="163"/>
      <c r="AA46" s="163" t="s">
        <v>166</v>
      </c>
      <c r="AB46" s="163"/>
      <c r="AC46" s="163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1:96" ht="18" customHeight="1">
      <c r="A47" s="163"/>
      <c r="B47" s="163"/>
      <c r="C47" s="163"/>
      <c r="D47" s="163"/>
      <c r="E47" s="168"/>
      <c r="F47" s="168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66"/>
      <c r="T47" s="166"/>
      <c r="U47" s="166"/>
      <c r="V47" s="168"/>
      <c r="W47" s="163"/>
      <c r="X47" s="163"/>
      <c r="Y47" s="163"/>
      <c r="Z47" s="163"/>
      <c r="AA47" s="163"/>
      <c r="AB47" s="163"/>
      <c r="AC47" s="163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1:96" ht="18" customHeight="1">
      <c r="A48" s="163"/>
      <c r="B48" s="163" t="s">
        <v>134</v>
      </c>
      <c r="C48" s="163"/>
      <c r="D48" s="163"/>
      <c r="E48" s="168"/>
      <c r="F48" s="168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66"/>
      <c r="T48" s="166"/>
      <c r="U48" s="166"/>
      <c r="V48" s="168"/>
      <c r="W48" s="163"/>
      <c r="X48" s="163"/>
      <c r="Y48" s="163"/>
      <c r="Z48" s="163"/>
      <c r="AA48" s="163"/>
      <c r="AB48" s="163"/>
      <c r="AC48" s="163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P48" s="4"/>
      <c r="BR48" s="4"/>
      <c r="BV48" s="4"/>
      <c r="CA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 ht="18" customHeight="1">
      <c r="A49" s="163"/>
      <c r="B49" s="163"/>
      <c r="C49" s="163" t="s">
        <v>84</v>
      </c>
      <c r="D49" s="163" t="s">
        <v>162</v>
      </c>
      <c r="E49" s="168" t="s">
        <v>177</v>
      </c>
      <c r="F49" s="168"/>
      <c r="G49" s="249">
        <f>('January 04'!$AC$45)</f>
        <v>10.5</v>
      </c>
      <c r="H49" s="249">
        <f>('February 04'!$AC$45)</f>
        <v>9</v>
      </c>
      <c r="I49" s="249">
        <f>('March 04'!$AC$45)</f>
        <v>12</v>
      </c>
      <c r="J49" s="249">
        <f>('April 04'!$AC$45)</f>
        <v>15</v>
      </c>
      <c r="K49" s="249">
        <f>('May 04'!$AC$45)</f>
        <v>9</v>
      </c>
      <c r="L49" s="249">
        <f>('June 04'!$AC$45)</f>
        <v>10</v>
      </c>
      <c r="M49" s="249">
        <f>('July 04'!$AC$45)</f>
        <v>26</v>
      </c>
      <c r="N49" s="249">
        <f>('August 04'!$AC$45)</f>
        <v>21</v>
      </c>
      <c r="O49" s="249">
        <f>('September 04'!$AC$45)</f>
        <v>17</v>
      </c>
      <c r="P49" s="314">
        <f>('October 04'!$AC$45)</f>
        <v>50</v>
      </c>
      <c r="Q49" s="249">
        <f>('November 04'!$AC$45)</f>
        <v>18</v>
      </c>
      <c r="R49" s="249">
        <f>('December 04'!$AC$45)</f>
        <v>12</v>
      </c>
      <c r="S49" s="244"/>
      <c r="T49" s="244" t="s">
        <v>150</v>
      </c>
      <c r="U49" s="249" t="s">
        <v>150</v>
      </c>
      <c r="V49" s="168"/>
      <c r="W49" s="163"/>
      <c r="X49" s="163"/>
      <c r="Y49" s="163"/>
      <c r="Z49" s="163"/>
      <c r="AA49" s="163" t="s">
        <v>163</v>
      </c>
      <c r="AB49" s="163"/>
      <c r="AC49" s="163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P49" s="4"/>
      <c r="BR49" s="4"/>
      <c r="BV49" s="4"/>
      <c r="CA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 ht="18" customHeight="1">
      <c r="A50" s="163"/>
      <c r="B50" s="165"/>
      <c r="C50" s="163"/>
      <c r="D50" s="163" t="s">
        <v>164</v>
      </c>
      <c r="E50" s="168"/>
      <c r="F50" s="168"/>
      <c r="G50" s="249">
        <f>('January 04'!$AC$47)</f>
        <v>4.474193548387096</v>
      </c>
      <c r="H50" s="249">
        <f>('February 04'!$AC$47)</f>
        <v>5.741379310344827</v>
      </c>
      <c r="I50" s="249">
        <f>('March 04'!$AC$47)</f>
        <v>6.548387096774194</v>
      </c>
      <c r="J50" s="249">
        <f>('April 04'!$AC$47)</f>
        <v>5.083333333333333</v>
      </c>
      <c r="K50" s="249">
        <f>('May 04'!$AC$47)</f>
        <v>4.967741935483871</v>
      </c>
      <c r="L50" s="249">
        <f>('June 04'!$AC$47)</f>
        <v>5.816666666666666</v>
      </c>
      <c r="M50" s="249">
        <f>('July 04'!$AC$47)</f>
        <v>6.887096774193548</v>
      </c>
      <c r="N50" s="249">
        <f>('August 04'!$AC$47)</f>
        <v>6.725806451612903</v>
      </c>
      <c r="O50" s="249">
        <f>('September 04'!$AC$47)</f>
        <v>7.583333333333333</v>
      </c>
      <c r="P50" s="249">
        <f>('October 04'!$AC$47)</f>
        <v>8.17741935483871</v>
      </c>
      <c r="Q50" s="249">
        <f>('November 04'!$AC$47)</f>
        <v>8.6</v>
      </c>
      <c r="R50" s="249">
        <f>('December 04'!$AC$47)</f>
        <v>6.483870967741935</v>
      </c>
      <c r="S50" s="244"/>
      <c r="T50" s="244" t="s">
        <v>150</v>
      </c>
      <c r="U50" s="249">
        <f>(IF(((SUM(G50:R50))=0)," ",(AVERAGE(G50:R50))))</f>
        <v>6.424102397725869</v>
      </c>
      <c r="V50" s="168" t="s">
        <v>177</v>
      </c>
      <c r="W50" s="163"/>
      <c r="X50" s="163"/>
      <c r="Y50" s="163"/>
      <c r="Z50" s="163"/>
      <c r="AA50" s="163" t="s">
        <v>164</v>
      </c>
      <c r="AB50" s="163"/>
      <c r="AC50" s="16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1:96" ht="18" customHeight="1">
      <c r="A51" s="163"/>
      <c r="B51" s="163"/>
      <c r="C51" s="163"/>
      <c r="D51" s="163" t="s">
        <v>165</v>
      </c>
      <c r="E51" s="168"/>
      <c r="F51" s="168"/>
      <c r="G51" s="314">
        <f>('January 04'!$AC$46)</f>
        <v>0.7</v>
      </c>
      <c r="H51" s="249">
        <f>('February 04'!$AC$46)</f>
        <v>1.5</v>
      </c>
      <c r="I51" s="249">
        <f>('March 04'!$AC$46)</f>
        <v>2.5</v>
      </c>
      <c r="J51" s="249">
        <f>('April 04'!$AC$46)</f>
        <v>1.5</v>
      </c>
      <c r="K51" s="249">
        <f>('May 04'!$AC$46)</f>
        <v>1</v>
      </c>
      <c r="L51" s="249">
        <f>('June 04'!$AC$46)</f>
        <v>2.5</v>
      </c>
      <c r="M51" s="249">
        <f>('July 04'!$AC$46)</f>
        <v>2</v>
      </c>
      <c r="N51" s="249">
        <f>('August 04'!$AC$46)</f>
        <v>2.5</v>
      </c>
      <c r="O51" s="249">
        <f>('September 04'!$AC$46)</f>
        <v>2</v>
      </c>
      <c r="P51" s="249">
        <f>('October 04'!$AC$46)</f>
        <v>1</v>
      </c>
      <c r="Q51" s="249">
        <f>('November 04'!$AC$46)</f>
        <v>2</v>
      </c>
      <c r="R51" s="249">
        <f>('December 04'!$AC$46)</f>
        <v>2</v>
      </c>
      <c r="S51" s="244"/>
      <c r="T51" s="244" t="s">
        <v>150</v>
      </c>
      <c r="U51" s="249" t="s">
        <v>150</v>
      </c>
      <c r="V51" s="168"/>
      <c r="W51" s="163"/>
      <c r="X51" s="163"/>
      <c r="Y51" s="163"/>
      <c r="Z51" s="163"/>
      <c r="AA51" s="163" t="s">
        <v>166</v>
      </c>
      <c r="AB51" s="163"/>
      <c r="AC51" s="163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ht="18" customHeight="1">
      <c r="A52" s="163"/>
      <c r="B52" s="163"/>
      <c r="C52" s="163"/>
      <c r="D52" s="163"/>
      <c r="E52" s="168"/>
      <c r="F52" s="168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166"/>
      <c r="T52" s="166"/>
      <c r="U52" s="166"/>
      <c r="V52" s="168"/>
      <c r="W52" s="163"/>
      <c r="X52" s="163"/>
      <c r="Y52" s="163"/>
      <c r="Z52" s="163"/>
      <c r="AA52" s="163"/>
      <c r="AB52" s="163"/>
      <c r="AC52" s="163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18" customHeight="1">
      <c r="A53" s="163"/>
      <c r="B53" s="163"/>
      <c r="C53" s="163" t="s">
        <v>85</v>
      </c>
      <c r="D53" s="163" t="s">
        <v>162</v>
      </c>
      <c r="E53" s="168" t="s">
        <v>177</v>
      </c>
      <c r="F53" s="168"/>
      <c r="G53" s="251">
        <f>('January 04'!$AD$45)</f>
        <v>0.4</v>
      </c>
      <c r="H53" s="251">
        <f>('February 04'!$AD$45)</f>
        <v>0.1</v>
      </c>
      <c r="I53" s="251">
        <f>('March 04'!$AD$45)</f>
        <v>0.1</v>
      </c>
      <c r="J53" s="251">
        <f>('April 04'!$AD$45)</f>
        <v>0.3</v>
      </c>
      <c r="K53" s="251">
        <f>('May 04'!$AD$45)</f>
        <v>0.3</v>
      </c>
      <c r="L53" s="251">
        <f>('June 04'!$AD$45)</f>
        <v>0.2</v>
      </c>
      <c r="M53" s="251">
        <f>('July 04'!$AD$45)</f>
        <v>0.3</v>
      </c>
      <c r="N53" s="251">
        <f>('August 04'!$AD$45)</f>
        <v>0.5</v>
      </c>
      <c r="O53" s="251">
        <f>('September 04'!$AD$45)</f>
        <v>0.1</v>
      </c>
      <c r="P53" s="251">
        <f>('October 04'!$AD$45)</f>
        <v>0.2</v>
      </c>
      <c r="Q53" s="315">
        <f>('November 04'!$AD$45)</f>
        <v>2.5</v>
      </c>
      <c r="R53" s="251">
        <f>('December 04'!$AD$45)</f>
        <v>1.5</v>
      </c>
      <c r="S53" s="246"/>
      <c r="T53" s="246" t="s">
        <v>150</v>
      </c>
      <c r="U53" s="251" t="s">
        <v>150</v>
      </c>
      <c r="V53" s="168"/>
      <c r="W53" s="163"/>
      <c r="X53" s="163"/>
      <c r="Y53" s="163"/>
      <c r="Z53" s="163"/>
      <c r="AA53" s="163" t="s">
        <v>163</v>
      </c>
      <c r="AB53" s="163"/>
      <c r="AC53" s="163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P53" s="4"/>
      <c r="BR53" s="4"/>
      <c r="BV53" s="4"/>
      <c r="CA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ht="18" customHeight="1">
      <c r="A54" s="163"/>
      <c r="B54" s="163"/>
      <c r="C54" s="163"/>
      <c r="D54" s="163" t="s">
        <v>164</v>
      </c>
      <c r="E54" s="168"/>
      <c r="F54" s="168"/>
      <c r="G54" s="251">
        <f>('January 04'!$AD$47)</f>
        <v>0.04645161290322582</v>
      </c>
      <c r="H54" s="251">
        <f>('February 04'!$AD$47)</f>
        <v>0.017931034482758627</v>
      </c>
      <c r="I54" s="251">
        <f>('March 04'!$AD$47)</f>
        <v>0.015483870967741939</v>
      </c>
      <c r="J54" s="251">
        <f>('April 04'!$AD$47)</f>
        <v>0.026333333333333337</v>
      </c>
      <c r="K54" s="251">
        <f>('May 04'!$AD$47)</f>
        <v>0.04193548387096775</v>
      </c>
      <c r="L54" s="251">
        <f>('June 04'!$AD$47)</f>
        <v>0.033</v>
      </c>
      <c r="M54" s="251">
        <f>('July 04'!$AD$47)</f>
        <v>0.036451612903225815</v>
      </c>
      <c r="N54" s="251">
        <f>('August 04'!$AD$47)</f>
        <v>0.04838709677419356</v>
      </c>
      <c r="O54" s="251">
        <f>('September 04'!$AD$47)</f>
        <v>0.023333333333333334</v>
      </c>
      <c r="P54" s="251">
        <f>('October 04'!$AD$47)</f>
        <v>0.04129032258064516</v>
      </c>
      <c r="Q54" s="251">
        <f>('November 04'!$AD$47)</f>
        <v>0.12866666666666657</v>
      </c>
      <c r="R54" s="251">
        <f>('December 04'!$AD$47)</f>
        <v>0.07838709677419355</v>
      </c>
      <c r="S54" s="246"/>
      <c r="T54" s="246" t="s">
        <v>150</v>
      </c>
      <c r="U54" s="251">
        <f>(IF(((SUM(G54:R54))=0)," ",(AVERAGE(G54:R54))))</f>
        <v>0.04480428871585712</v>
      </c>
      <c r="V54" s="168" t="s">
        <v>177</v>
      </c>
      <c r="W54" s="163"/>
      <c r="X54" s="163"/>
      <c r="Y54" s="163"/>
      <c r="Z54" s="163"/>
      <c r="AA54" s="163" t="s">
        <v>164</v>
      </c>
      <c r="AB54" s="163"/>
      <c r="AC54" s="163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P54" s="4"/>
      <c r="BR54" s="4"/>
      <c r="BV54" s="4"/>
      <c r="CA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ht="18" customHeight="1">
      <c r="A55" s="163"/>
      <c r="B55" s="163"/>
      <c r="C55" s="163"/>
      <c r="D55" s="163" t="s">
        <v>165</v>
      </c>
      <c r="E55" s="168"/>
      <c r="F55" s="168"/>
      <c r="G55" s="251">
        <f>('January 04'!$AD$46)</f>
        <v>0</v>
      </c>
      <c r="H55" s="251">
        <f>('February 04'!$AD$46)</f>
        <v>0</v>
      </c>
      <c r="I55" s="251">
        <f>('March 04'!$AD$46)</f>
        <v>0</v>
      </c>
      <c r="J55" s="251">
        <f>('April 04'!$AD$46)</f>
        <v>0</v>
      </c>
      <c r="K55" s="251">
        <f>('May 04'!$AD$46)</f>
        <v>0</v>
      </c>
      <c r="L55" s="251">
        <f>('June 04'!$AD$46)</f>
        <v>0</v>
      </c>
      <c r="M55" s="251">
        <f>('July 04'!$AD$46)</f>
        <v>0</v>
      </c>
      <c r="N55" s="251">
        <f>('August 04'!$AD$46)</f>
        <v>0</v>
      </c>
      <c r="O55" s="251">
        <f>('September 04'!$AD$46)</f>
        <v>0</v>
      </c>
      <c r="P55" s="251">
        <f>('October 04'!$AD$46)</f>
        <v>0</v>
      </c>
      <c r="Q55" s="251">
        <f>('November 04'!$AD$46)</f>
        <v>0</v>
      </c>
      <c r="R55" s="251">
        <f>('December 04'!$AD$46)</f>
        <v>0</v>
      </c>
      <c r="S55" s="246"/>
      <c r="T55" s="246" t="s">
        <v>150</v>
      </c>
      <c r="U55" s="251" t="s">
        <v>150</v>
      </c>
      <c r="V55" s="168"/>
      <c r="W55" s="163"/>
      <c r="X55" s="163"/>
      <c r="Y55" s="163"/>
      <c r="Z55" s="163"/>
      <c r="AA55" s="163" t="s">
        <v>166</v>
      </c>
      <c r="AB55" s="163"/>
      <c r="AC55" s="163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ht="18" customHeight="1">
      <c r="A56" s="163"/>
      <c r="B56" s="163"/>
      <c r="C56" s="163"/>
      <c r="D56" s="163"/>
      <c r="E56" s="168"/>
      <c r="F56" s="168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46"/>
      <c r="T56" s="246"/>
      <c r="U56" s="246"/>
      <c r="V56" s="168"/>
      <c r="W56" s="163"/>
      <c r="X56" s="163"/>
      <c r="Y56" s="163"/>
      <c r="Z56" s="163"/>
      <c r="AA56" s="163"/>
      <c r="AB56" s="163"/>
      <c r="AC56" s="163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 ht="18" customHeight="1">
      <c r="A57" s="163"/>
      <c r="B57" s="163"/>
      <c r="C57" s="163" t="s">
        <v>86</v>
      </c>
      <c r="D57" s="163" t="s">
        <v>162</v>
      </c>
      <c r="E57" s="168" t="s">
        <v>177</v>
      </c>
      <c r="F57" s="168"/>
      <c r="G57" s="251">
        <f>('January 04'!$AE$45)</f>
        <v>0.01</v>
      </c>
      <c r="H57" s="251">
        <f>('February 04'!$AE$45)</f>
        <v>0.01</v>
      </c>
      <c r="I57" s="251">
        <f>('March 04'!$AE$45)</f>
        <v>0.01</v>
      </c>
      <c r="J57" s="251">
        <f>('April 04'!$AE$45)</f>
        <v>0.01</v>
      </c>
      <c r="K57" s="315">
        <f>('May 04'!$AE$45)</f>
        <v>0.1</v>
      </c>
      <c r="L57" s="251">
        <f>('June 04'!$AE$45)</f>
        <v>0.01</v>
      </c>
      <c r="M57" s="251">
        <f>('July 04'!$AE$45)</f>
        <v>0.01</v>
      </c>
      <c r="N57" s="251">
        <f>('August 04'!$AE$45)</f>
        <v>0.01</v>
      </c>
      <c r="O57" s="251">
        <f>('September 04'!$AE$45)</f>
        <v>0.01</v>
      </c>
      <c r="P57" s="251">
        <f>('October 04'!$AE$45)</f>
        <v>0.01</v>
      </c>
      <c r="Q57" s="251">
        <f>('November 04'!$AE$45)</f>
        <v>0.01</v>
      </c>
      <c r="R57" s="251">
        <f>('December 04'!$AE$45)</f>
        <v>0.01</v>
      </c>
      <c r="S57" s="246"/>
      <c r="T57" s="246" t="s">
        <v>150</v>
      </c>
      <c r="U57" s="315">
        <f>(IF(((SUM(G57:R57))=0)," ",(MAX(G57:R57))))</f>
        <v>0.1</v>
      </c>
      <c r="V57" s="168"/>
      <c r="W57" s="163"/>
      <c r="X57" s="322">
        <v>0.3</v>
      </c>
      <c r="Y57" s="163"/>
      <c r="Z57" s="163"/>
      <c r="AA57" s="163" t="s">
        <v>163</v>
      </c>
      <c r="AB57" s="163"/>
      <c r="AC57" s="163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ht="18" customHeight="1">
      <c r="A58" s="163"/>
      <c r="B58" s="163"/>
      <c r="C58" s="163"/>
      <c r="D58" s="163" t="s">
        <v>164</v>
      </c>
      <c r="E58" s="168"/>
      <c r="F58" s="168"/>
      <c r="G58" s="251">
        <f>('January 04'!$AE$47)</f>
        <v>0.0006451612903225806</v>
      </c>
      <c r="H58" s="251">
        <f>('February 04'!$AE$47)</f>
        <v>0.0013793103448275863</v>
      </c>
      <c r="I58" s="251">
        <f>('March 04'!$AE$47)</f>
        <v>0.000967741935483871</v>
      </c>
      <c r="J58" s="251">
        <f>('April 04'!$AE$47)</f>
        <v>0.0006666666666666666</v>
      </c>
      <c r="K58" s="251">
        <f>('May 04'!$AE$47)</f>
        <v>0.005806451612903226</v>
      </c>
      <c r="L58" s="251">
        <f>('June 04'!$AE$47)</f>
        <v>0.001</v>
      </c>
      <c r="M58" s="251">
        <f>('July 04'!$AE$47)</f>
        <v>0.0016129032258064516</v>
      </c>
      <c r="N58" s="251">
        <f>('August 04'!$AE$47)</f>
        <v>0.000967741935483871</v>
      </c>
      <c r="O58" s="251">
        <f>('September 04'!$AE$47)</f>
        <v>0.001</v>
      </c>
      <c r="P58" s="251">
        <f>('October 04'!$AE$47)</f>
        <v>0.0012903225806451613</v>
      </c>
      <c r="Q58" s="251">
        <f>('November 04'!$AE$47)</f>
        <v>0.0016666666666666668</v>
      </c>
      <c r="R58" s="251">
        <f>('December 04'!$AE$47)</f>
        <v>0.0012903225806451613</v>
      </c>
      <c r="S58" s="246"/>
      <c r="T58" s="246" t="s">
        <v>150</v>
      </c>
      <c r="U58" s="251">
        <f>(IF(((SUM(G58:R58))=0)," ",(AVERAGE(G58:R58))))</f>
        <v>0.0015244407366209365</v>
      </c>
      <c r="V58" s="168" t="s">
        <v>177</v>
      </c>
      <c r="W58" s="163"/>
      <c r="X58" s="163"/>
      <c r="Y58" s="163"/>
      <c r="Z58" s="163"/>
      <c r="AA58" s="163" t="s">
        <v>164</v>
      </c>
      <c r="AB58" s="163"/>
      <c r="AC58" s="163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ht="18" customHeight="1">
      <c r="A59" s="163"/>
      <c r="B59" s="163"/>
      <c r="C59" s="163"/>
      <c r="D59" s="163" t="s">
        <v>165</v>
      </c>
      <c r="E59" s="168"/>
      <c r="F59" s="168"/>
      <c r="G59" s="251">
        <f>('January 04'!$AE$46)</f>
        <v>0</v>
      </c>
      <c r="H59" s="251">
        <f>('February 04'!$AE$46)</f>
        <v>0</v>
      </c>
      <c r="I59" s="251">
        <f>('March 04'!$AE$46)</f>
        <v>0</v>
      </c>
      <c r="J59" s="251">
        <f>('April 04'!$AE$46)</f>
        <v>0</v>
      </c>
      <c r="K59" s="251">
        <f>('May 04'!$AE$46)</f>
        <v>0</v>
      </c>
      <c r="L59" s="251">
        <f>('June 04'!$AE$46)</f>
        <v>0</v>
      </c>
      <c r="M59" s="251">
        <f>('July 04'!$AE$46)</f>
        <v>0</v>
      </c>
      <c r="N59" s="251">
        <f>('August 04'!$AE$46)</f>
        <v>0</v>
      </c>
      <c r="O59" s="251">
        <f>('September 04'!$AE$46)</f>
        <v>0</v>
      </c>
      <c r="P59" s="251">
        <f>('October 04'!$AE$46)</f>
        <v>0</v>
      </c>
      <c r="Q59" s="251">
        <f>('November 04'!$AE$46)</f>
        <v>0</v>
      </c>
      <c r="R59" s="251">
        <f>('December 04'!$AE$46)</f>
        <v>0</v>
      </c>
      <c r="S59" s="246"/>
      <c r="T59" s="246" t="s">
        <v>150</v>
      </c>
      <c r="U59" s="251" t="s">
        <v>150</v>
      </c>
      <c r="V59" s="168"/>
      <c r="W59" s="163"/>
      <c r="X59" s="163"/>
      <c r="Y59" s="163"/>
      <c r="Z59" s="163"/>
      <c r="AA59" s="163" t="s">
        <v>166</v>
      </c>
      <c r="AB59" s="163"/>
      <c r="AC59" s="163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ht="18" customHeight="1">
      <c r="A60" s="163"/>
      <c r="B60" s="163"/>
      <c r="C60" s="163"/>
      <c r="D60" s="163"/>
      <c r="E60" s="168"/>
      <c r="F60" s="168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66"/>
      <c r="T60" s="166"/>
      <c r="U60" s="166"/>
      <c r="V60" s="168"/>
      <c r="W60" s="163"/>
      <c r="X60" s="163"/>
      <c r="Y60" s="163"/>
      <c r="Z60" s="163"/>
      <c r="AA60" s="163"/>
      <c r="AB60" s="163"/>
      <c r="AC60" s="163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79" ht="15.75" customHeight="1">
      <c r="A61" s="163" t="str">
        <f>(A1)</f>
        <v>BRUNSWICK SEWER DISTRICT</v>
      </c>
      <c r="B61" s="163"/>
      <c r="C61" s="163"/>
      <c r="D61" s="163"/>
      <c r="E61" s="163"/>
      <c r="F61" s="163"/>
      <c r="G61" s="174"/>
      <c r="H61" s="174"/>
      <c r="I61" s="173"/>
      <c r="J61" s="173"/>
      <c r="K61" s="173"/>
      <c r="L61" s="173" t="str">
        <f>(L1)</f>
        <v>State Discharge License Number W 002600-5L-C-R</v>
      </c>
      <c r="M61" s="174"/>
      <c r="N61" s="186"/>
      <c r="O61" s="186"/>
      <c r="P61" s="172"/>
      <c r="Q61" s="172"/>
      <c r="R61" s="172"/>
      <c r="S61" s="165"/>
      <c r="T61" s="166"/>
      <c r="U61" s="166"/>
      <c r="V61" s="166"/>
      <c r="W61" s="163"/>
      <c r="X61" s="166" t="str">
        <f>(X1)</f>
        <v>Gregory H. Thulen</v>
      </c>
      <c r="Y61" s="163"/>
      <c r="Z61" s="163"/>
      <c r="AA61" s="163"/>
      <c r="AB61" s="163"/>
      <c r="AC61" s="163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P61" s="4"/>
      <c r="BR61" s="4"/>
      <c r="BV61" s="4"/>
      <c r="CA61" s="4"/>
    </row>
    <row r="62" spans="1:79" ht="15.75" customHeight="1">
      <c r="A62" s="163"/>
      <c r="B62" s="163"/>
      <c r="C62" s="163"/>
      <c r="D62" s="163"/>
      <c r="E62" s="163"/>
      <c r="F62" s="163"/>
      <c r="G62" s="174"/>
      <c r="H62" s="174"/>
      <c r="I62" s="174"/>
      <c r="J62" s="174"/>
      <c r="K62" s="174"/>
      <c r="L62" s="174"/>
      <c r="M62" s="174"/>
      <c r="N62" s="186"/>
      <c r="O62" s="186"/>
      <c r="P62" s="186"/>
      <c r="Q62" s="187"/>
      <c r="R62" s="186"/>
      <c r="S62" s="165"/>
      <c r="T62" s="165"/>
      <c r="U62" s="167"/>
      <c r="V62" s="165"/>
      <c r="W62" s="163"/>
      <c r="X62" s="165"/>
      <c r="Y62" s="163"/>
      <c r="Z62" s="163"/>
      <c r="AA62" s="163"/>
      <c r="AB62" s="163"/>
      <c r="AC62" s="16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P62" s="4"/>
      <c r="BR62" s="4"/>
      <c r="BV62" s="4"/>
      <c r="CA62" s="4"/>
    </row>
    <row r="63" spans="1:79" ht="15.75" customHeight="1">
      <c r="A63" s="163" t="str">
        <f>(A3)</f>
        <v>Annual Report of Treatment Operations:  2004.</v>
      </c>
      <c r="B63" s="163"/>
      <c r="C63" s="163"/>
      <c r="D63" s="163"/>
      <c r="E63" s="163"/>
      <c r="F63" s="163"/>
      <c r="G63" s="174"/>
      <c r="H63" s="174"/>
      <c r="I63" s="173"/>
      <c r="J63" s="173"/>
      <c r="K63" s="173"/>
      <c r="L63" s="173" t="str">
        <f>(L3)</f>
        <v>N.P.D.E.S. Permit Number ME 0100102</v>
      </c>
      <c r="M63" s="174"/>
      <c r="N63" s="186"/>
      <c r="O63" s="186"/>
      <c r="P63" s="172"/>
      <c r="Q63" s="172"/>
      <c r="R63" s="172"/>
      <c r="S63" s="165"/>
      <c r="T63" s="166"/>
      <c r="U63" s="166"/>
      <c r="V63" s="166"/>
      <c r="W63" s="163"/>
      <c r="X63" s="166" t="str">
        <f>(X3)</f>
        <v>Treatment Operations Division Supervisor</v>
      </c>
      <c r="Y63" s="163"/>
      <c r="Z63" s="163"/>
      <c r="AA63" s="163"/>
      <c r="AB63" s="163"/>
      <c r="AC63" s="163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P63" s="4"/>
      <c r="BR63" s="4"/>
      <c r="BV63" s="4"/>
      <c r="CA63" s="4"/>
    </row>
    <row r="64" spans="1:55" ht="15.75" customHeight="1">
      <c r="A64" s="163"/>
      <c r="B64" s="163"/>
      <c r="C64" s="163"/>
      <c r="D64" s="163"/>
      <c r="E64" s="163"/>
      <c r="F64" s="163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63"/>
      <c r="T64" s="163"/>
      <c r="U64" s="163"/>
      <c r="V64" s="166"/>
      <c r="W64" s="163"/>
      <c r="X64" s="163"/>
      <c r="Y64" s="163"/>
      <c r="Z64" s="163"/>
      <c r="AA64" s="163"/>
      <c r="AB64" s="163"/>
      <c r="AC64" s="163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5.75" customHeight="1">
      <c r="A65" s="163" t="str">
        <f>(A5)</f>
        <v>file:</v>
      </c>
      <c r="B65" s="163"/>
      <c r="C65" s="163"/>
      <c r="D65" s="163"/>
      <c r="E65" s="163"/>
      <c r="F65" s="163"/>
      <c r="G65" s="174"/>
      <c r="H65" s="174"/>
      <c r="I65" s="174"/>
      <c r="J65" s="174"/>
      <c r="K65" s="174"/>
      <c r="L65" s="174"/>
      <c r="M65" s="187"/>
      <c r="N65" s="174"/>
      <c r="O65" s="174"/>
      <c r="P65" s="174"/>
      <c r="Q65" s="174"/>
      <c r="R65" s="174"/>
      <c r="S65" s="163"/>
      <c r="T65" s="163"/>
      <c r="U65" s="163"/>
      <c r="V65" s="168"/>
      <c r="W65" s="163"/>
      <c r="X65" s="168" t="s">
        <v>115</v>
      </c>
      <c r="Y65" s="163"/>
      <c r="Z65" s="163"/>
      <c r="AA65" s="163"/>
      <c r="AB65" s="163"/>
      <c r="AC65" s="163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5.75" customHeight="1">
      <c r="A66" s="163"/>
      <c r="B66" s="163"/>
      <c r="C66" s="163"/>
      <c r="D66" s="163"/>
      <c r="E66" s="163"/>
      <c r="F66" s="163"/>
      <c r="G66" s="174"/>
      <c r="H66" s="174"/>
      <c r="I66" s="174"/>
      <c r="J66" s="174"/>
      <c r="K66" s="174"/>
      <c r="L66" s="174"/>
      <c r="M66" s="187"/>
      <c r="N66" s="174"/>
      <c r="O66" s="174"/>
      <c r="P66" s="174"/>
      <c r="Q66" s="174"/>
      <c r="R66" s="174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5.75" customHeight="1">
      <c r="A67" s="163"/>
      <c r="B67" s="163"/>
      <c r="C67" s="163"/>
      <c r="D67" s="163"/>
      <c r="E67" s="163"/>
      <c r="F67" s="163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63"/>
      <c r="T67" s="350" t="str">
        <f>(T7)</f>
        <v>A       N       N       U       A       L</v>
      </c>
      <c r="U67" s="351"/>
      <c r="V67" s="352"/>
      <c r="W67" s="163"/>
      <c r="X67" s="320" t="str">
        <f>(X7)</f>
        <v>P E R M I T</v>
      </c>
      <c r="Y67" s="163"/>
      <c r="Z67" s="163"/>
      <c r="AA67" s="163"/>
      <c r="AB67" s="163"/>
      <c r="AC67" s="163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5.75" customHeight="1">
      <c r="A68" s="163"/>
      <c r="B68" s="169" t="str">
        <f>(B8)</f>
        <v>Parameter</v>
      </c>
      <c r="C68" s="169"/>
      <c r="D68" s="169" t="str">
        <f>(D8)</f>
        <v>Function</v>
      </c>
      <c r="E68" s="170" t="str">
        <f>(E8)</f>
        <v>Units</v>
      </c>
      <c r="F68" s="170"/>
      <c r="G68" s="171" t="str">
        <f aca="true" t="shared" si="0" ref="G68:R68">(G8)</f>
        <v>JANUARY</v>
      </c>
      <c r="H68" s="171" t="str">
        <f t="shared" si="0"/>
        <v>FEBRUARY</v>
      </c>
      <c r="I68" s="171" t="str">
        <f t="shared" si="0"/>
        <v>MARCH</v>
      </c>
      <c r="J68" s="171" t="str">
        <f t="shared" si="0"/>
        <v>APRIL</v>
      </c>
      <c r="K68" s="171" t="str">
        <f t="shared" si="0"/>
        <v>MAY</v>
      </c>
      <c r="L68" s="171" t="str">
        <f t="shared" si="0"/>
        <v>JUNE</v>
      </c>
      <c r="M68" s="171" t="str">
        <f t="shared" si="0"/>
        <v>JULY</v>
      </c>
      <c r="N68" s="171" t="str">
        <f t="shared" si="0"/>
        <v>AUGUST</v>
      </c>
      <c r="O68" s="171" t="str">
        <f t="shared" si="0"/>
        <v>SEPTEMBER</v>
      </c>
      <c r="P68" s="171" t="str">
        <f t="shared" si="0"/>
        <v>OCTOBER</v>
      </c>
      <c r="Q68" s="171" t="str">
        <f t="shared" si="0"/>
        <v>NOVEMBER</v>
      </c>
      <c r="R68" s="171" t="str">
        <f t="shared" si="0"/>
        <v>DECEMBER</v>
      </c>
      <c r="S68" s="170"/>
      <c r="T68" s="170" t="str">
        <f>(T8)</f>
        <v>Total</v>
      </c>
      <c r="U68" s="170" t="str">
        <f>(U8)</f>
        <v>Max/Avg/Min</v>
      </c>
      <c r="V68" s="170" t="str">
        <f>(V8)</f>
        <v>Units</v>
      </c>
      <c r="W68" s="163"/>
      <c r="X68" s="170" t="str">
        <f>(X8)</f>
        <v>Limits</v>
      </c>
      <c r="Y68" s="163"/>
      <c r="Z68" s="163"/>
      <c r="AA68" s="163"/>
      <c r="AB68" s="163"/>
      <c r="AC68" s="16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5.75" customHeight="1">
      <c r="A69" s="163"/>
      <c r="B69" s="163"/>
      <c r="C69" s="163"/>
      <c r="D69" s="163"/>
      <c r="E69" s="166"/>
      <c r="F69" s="166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66"/>
      <c r="T69" s="166"/>
      <c r="U69" s="166"/>
      <c r="V69" s="166"/>
      <c r="W69" s="163"/>
      <c r="X69" s="163"/>
      <c r="Y69" s="163"/>
      <c r="Z69" s="163"/>
      <c r="AA69" s="163"/>
      <c r="AB69" s="163"/>
      <c r="AC69" s="163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5.75" customHeight="1">
      <c r="A70" s="163"/>
      <c r="B70" s="163" t="s">
        <v>16</v>
      </c>
      <c r="C70" s="163"/>
      <c r="D70" s="163"/>
      <c r="E70" s="168"/>
      <c r="F70" s="168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66"/>
      <c r="T70" s="166"/>
      <c r="U70" s="166"/>
      <c r="V70" s="168"/>
      <c r="W70" s="163"/>
      <c r="X70" s="163"/>
      <c r="Y70" s="163"/>
      <c r="Z70" s="163"/>
      <c r="AA70" s="163"/>
      <c r="AB70" s="163"/>
      <c r="AC70" s="163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5.75" customHeight="1">
      <c r="A71" s="163"/>
      <c r="B71" s="163"/>
      <c r="C71" s="163" t="s">
        <v>84</v>
      </c>
      <c r="D71" s="163" t="s">
        <v>162</v>
      </c>
      <c r="E71" s="168" t="s">
        <v>178</v>
      </c>
      <c r="F71" s="168"/>
      <c r="G71" s="248">
        <f>('January 04'!$AI$45)</f>
        <v>275</v>
      </c>
      <c r="H71" s="248">
        <f>('February 04'!$AI$45)</f>
        <v>360</v>
      </c>
      <c r="I71" s="248">
        <f>('March 04'!$AI$45)</f>
        <v>345</v>
      </c>
      <c r="J71" s="248">
        <f>('April 04'!$AI$45)</f>
        <v>263</v>
      </c>
      <c r="K71" s="248">
        <f>('May 04'!$AI$45)</f>
        <v>264</v>
      </c>
      <c r="L71" s="248">
        <f>('June 04'!$AI$45)</f>
        <v>323</v>
      </c>
      <c r="M71" s="248">
        <f>('July 04'!$AI$45)</f>
        <v>315</v>
      </c>
      <c r="N71" s="248">
        <f>('August 04'!$AI$45)</f>
        <v>333</v>
      </c>
      <c r="O71" s="248">
        <f>('September 04'!$AI$45)</f>
        <v>312</v>
      </c>
      <c r="P71" s="313">
        <f>('October 04'!$AI$45)</f>
        <v>394</v>
      </c>
      <c r="Q71" s="248">
        <f>('November 04'!$AI$45)</f>
        <v>393</v>
      </c>
      <c r="R71" s="248">
        <f>('December 04'!$AI$45)</f>
        <v>299</v>
      </c>
      <c r="S71" s="166"/>
      <c r="T71" s="166" t="s">
        <v>150</v>
      </c>
      <c r="U71" s="252" t="s">
        <v>150</v>
      </c>
      <c r="V71" s="168"/>
      <c r="W71" s="163"/>
      <c r="X71" s="163"/>
      <c r="Y71" s="163"/>
      <c r="Z71" s="163"/>
      <c r="AA71" s="163" t="s">
        <v>163</v>
      </c>
      <c r="AB71" s="163"/>
      <c r="AC71" s="163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5.75" customHeight="1">
      <c r="A72" s="163"/>
      <c r="B72" s="163"/>
      <c r="C72" s="163"/>
      <c r="D72" s="163" t="s">
        <v>164</v>
      </c>
      <c r="E72" s="168"/>
      <c r="F72" s="168"/>
      <c r="G72" s="248">
        <f>('January 04'!$AI$47)</f>
        <v>227.46153846153845</v>
      </c>
      <c r="H72" s="248">
        <f>('February 04'!$AI$47)</f>
        <v>290</v>
      </c>
      <c r="I72" s="248">
        <f>('March 04'!$AI$47)</f>
        <v>296.3076923076923</v>
      </c>
      <c r="J72" s="248">
        <f>('April 04'!$AI$47)</f>
        <v>214.71428571428572</v>
      </c>
      <c r="K72" s="248">
        <f>('May 04'!$AI$47)</f>
        <v>231.45454545454547</v>
      </c>
      <c r="L72" s="248">
        <f>('June 04'!$AI$47)</f>
        <v>267.2307692307692</v>
      </c>
      <c r="M72" s="248">
        <f>('July 04'!$AI$47)</f>
        <v>281.64285714285717</v>
      </c>
      <c r="N72" s="248">
        <f>('August 04'!$AI$47)</f>
        <v>276.6666666666667</v>
      </c>
      <c r="O72" s="248">
        <f>('September 04'!$AI$47)</f>
        <v>276.7142857142857</v>
      </c>
      <c r="P72" s="248">
        <f>('October 04'!$AI$47)</f>
        <v>333.53846153846155</v>
      </c>
      <c r="Q72" s="248">
        <f>('November 04'!$AI$47)</f>
        <v>333.0833333333333</v>
      </c>
      <c r="R72" s="248">
        <f>('December 04'!$AI$47)</f>
        <v>242</v>
      </c>
      <c r="S72" s="166"/>
      <c r="T72" s="166" t="s">
        <v>150</v>
      </c>
      <c r="U72" s="318">
        <f>(IF(((SUM(G72:R72))=0)," ",(AVERAGE(G72:R72))))</f>
        <v>272.56786963036967</v>
      </c>
      <c r="V72" s="168" t="s">
        <v>178</v>
      </c>
      <c r="W72" s="163"/>
      <c r="X72" s="163"/>
      <c r="Y72" s="163"/>
      <c r="Z72" s="163"/>
      <c r="AA72" s="163" t="s">
        <v>164</v>
      </c>
      <c r="AB72" s="163"/>
      <c r="AC72" s="163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5.75" customHeight="1">
      <c r="A73" s="163"/>
      <c r="B73" s="163"/>
      <c r="C73" s="163"/>
      <c r="D73" s="163" t="s">
        <v>165</v>
      </c>
      <c r="E73" s="168"/>
      <c r="F73" s="168"/>
      <c r="G73" s="248">
        <f>('January 04'!$AI$46)</f>
        <v>170</v>
      </c>
      <c r="H73" s="248">
        <f>('February 04'!$AI$46)</f>
        <v>237</v>
      </c>
      <c r="I73" s="248">
        <f>('March 04'!$AI$46)</f>
        <v>242</v>
      </c>
      <c r="J73" s="313">
        <f>('April 04'!$AI$46)</f>
        <v>166</v>
      </c>
      <c r="K73" s="248">
        <f>('May 04'!$AI$46)</f>
        <v>192</v>
      </c>
      <c r="L73" s="248">
        <f>('June 04'!$AI$46)</f>
        <v>221</v>
      </c>
      <c r="M73" s="248">
        <f>('July 04'!$AI$46)</f>
        <v>235</v>
      </c>
      <c r="N73" s="248">
        <f>('August 04'!$AI$46)</f>
        <v>200</v>
      </c>
      <c r="O73" s="248">
        <f>('September 04'!$AI$46)</f>
        <v>198</v>
      </c>
      <c r="P73" s="248">
        <f>('October 04'!$AI$46)</f>
        <v>267</v>
      </c>
      <c r="Q73" s="248">
        <f>('November 04'!$AI$46)</f>
        <v>270</v>
      </c>
      <c r="R73" s="248">
        <f>('December 04'!$AI$46)</f>
        <v>213</v>
      </c>
      <c r="S73" s="166"/>
      <c r="T73" s="166" t="s">
        <v>150</v>
      </c>
      <c r="U73" s="252" t="s">
        <v>150</v>
      </c>
      <c r="V73" s="168"/>
      <c r="W73" s="163"/>
      <c r="X73" s="163"/>
      <c r="Y73" s="163"/>
      <c r="Z73" s="163"/>
      <c r="AA73" s="163" t="s">
        <v>166</v>
      </c>
      <c r="AB73" s="163"/>
      <c r="AC73" s="163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5.75" customHeight="1">
      <c r="A74" s="163"/>
      <c r="B74" s="163"/>
      <c r="C74" s="163"/>
      <c r="D74" s="163"/>
      <c r="E74" s="168"/>
      <c r="F74" s="168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166"/>
      <c r="T74" s="166"/>
      <c r="U74" s="166"/>
      <c r="V74" s="168"/>
      <c r="W74" s="163"/>
      <c r="X74" s="163"/>
      <c r="Y74" s="163"/>
      <c r="Z74" s="163"/>
      <c r="AA74" s="163"/>
      <c r="AB74" s="163"/>
      <c r="AC74" s="163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5.75" customHeight="1">
      <c r="A75" s="163"/>
      <c r="B75" s="163"/>
      <c r="C75" s="163" t="s">
        <v>84</v>
      </c>
      <c r="D75" s="163" t="s">
        <v>162</v>
      </c>
      <c r="E75" s="168" t="s">
        <v>174</v>
      </c>
      <c r="F75" s="168"/>
      <c r="G75" s="248">
        <f>('January 04'!$AJ$45)</f>
        <v>5467.704</v>
      </c>
      <c r="H75" s="248">
        <f>('February 04'!$AJ$45)</f>
        <v>6551.2368</v>
      </c>
      <c r="I75" s="248">
        <f>('March 04'!$AJ$45)</f>
        <v>6232.2318</v>
      </c>
      <c r="J75" s="313">
        <f>('April 04'!$AJ$45)</f>
        <v>7363.31094</v>
      </c>
      <c r="K75" s="248">
        <f>('May 04'!$AJ$45)</f>
        <v>6021.63846</v>
      </c>
      <c r="L75" s="248">
        <f>('June 04'!$AJ$45)</f>
        <v>6697.42032</v>
      </c>
      <c r="M75" s="248">
        <f>('July 04'!$AJ$45)</f>
        <v>6326.056799999999</v>
      </c>
      <c r="N75" s="248">
        <f>('August 04'!$AJ$45)</f>
        <v>6402.0342</v>
      </c>
      <c r="O75" s="248">
        <f>('September 04'!$AJ$45)</f>
        <v>6360.88464</v>
      </c>
      <c r="P75" s="248">
        <f>('October 04'!$AJ$45)</f>
        <v>7186.394519999999</v>
      </c>
      <c r="Q75" s="248">
        <f>('November 04'!$AJ$45)</f>
        <v>6951.8904</v>
      </c>
      <c r="R75" s="248">
        <f>('December 04'!$AJ$45)</f>
        <v>6210.36432</v>
      </c>
      <c r="S75" s="166"/>
      <c r="T75" s="166" t="s">
        <v>150</v>
      </c>
      <c r="U75" s="252" t="s">
        <v>150</v>
      </c>
      <c r="V75" s="168"/>
      <c r="W75" s="163"/>
      <c r="X75" s="163"/>
      <c r="Y75" s="163"/>
      <c r="Z75" s="163"/>
      <c r="AA75" s="163" t="s">
        <v>163</v>
      </c>
      <c r="AB75" s="163"/>
      <c r="AC75" s="163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5.75" customHeight="1">
      <c r="A76" s="163"/>
      <c r="B76" s="163"/>
      <c r="C76" s="163"/>
      <c r="D76" s="163" t="s">
        <v>164</v>
      </c>
      <c r="E76" s="168"/>
      <c r="F76" s="168"/>
      <c r="G76" s="248">
        <f>('January 04'!$AJ$47)</f>
        <v>4800.721481538461</v>
      </c>
      <c r="H76" s="248">
        <f>('February 04'!$AJ$47)</f>
        <v>5484.440294999999</v>
      </c>
      <c r="I76" s="248">
        <f>('March 04'!$AJ$47)</f>
        <v>5242.9717938461545</v>
      </c>
      <c r="J76" s="248">
        <f>('April 04'!$AJ$47)</f>
        <v>5457.156878571428</v>
      </c>
      <c r="K76" s="248">
        <f>('May 04'!$AJ$47)</f>
        <v>5509.557910909091</v>
      </c>
      <c r="L76" s="248">
        <f>('June 04'!$AJ$47)</f>
        <v>5599.27584</v>
      </c>
      <c r="M76" s="248">
        <f>('July 04'!$AJ$47)</f>
        <v>5423.457321428571</v>
      </c>
      <c r="N76" s="248">
        <f>('August 04'!$AJ$47)</f>
        <v>5409.8244</v>
      </c>
      <c r="O76" s="248">
        <f>('September 04'!$AJ$47)</f>
        <v>5736.432501428572</v>
      </c>
      <c r="P76" s="248">
        <f>('October 04'!$AJ$47)</f>
        <v>6168.382684615384</v>
      </c>
      <c r="Q76" s="248">
        <f>('November 04'!$AJ$47)</f>
        <v>6015.567635</v>
      </c>
      <c r="R76" s="248">
        <f>('December 04'!$AJ$47)</f>
        <v>5254.28896</v>
      </c>
      <c r="S76" s="166"/>
      <c r="T76" s="166" t="s">
        <v>150</v>
      </c>
      <c r="U76" s="318">
        <f>(IF(((SUM(G76:R76))=0)," ",(AVERAGE(G76:R76))))</f>
        <v>5508.506475194805</v>
      </c>
      <c r="V76" s="168" t="s">
        <v>174</v>
      </c>
      <c r="W76" s="163"/>
      <c r="X76" s="163"/>
      <c r="Y76" s="163"/>
      <c r="Z76" s="163"/>
      <c r="AA76" s="163" t="s">
        <v>164</v>
      </c>
      <c r="AB76" s="163"/>
      <c r="AC76" s="163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5.75" customHeight="1">
      <c r="A77" s="163"/>
      <c r="B77" s="163"/>
      <c r="C77" s="163"/>
      <c r="D77" s="163" t="s">
        <v>165</v>
      </c>
      <c r="E77" s="168"/>
      <c r="F77" s="168"/>
      <c r="G77" s="248">
        <f>('January 04'!$AJ$46)</f>
        <v>4035.0588</v>
      </c>
      <c r="H77" s="248">
        <f>('February 04'!$AJ$46)</f>
        <v>4751.6983199999995</v>
      </c>
      <c r="I77" s="248">
        <f>('March 04'!$AJ$46)</f>
        <v>4072.8890399999996</v>
      </c>
      <c r="J77" s="248">
        <f>('April 04'!$AJ$46)</f>
        <v>4171.05084</v>
      </c>
      <c r="K77" s="248">
        <f>('May 04'!$AJ$46)</f>
        <v>4843.471680000001</v>
      </c>
      <c r="L77" s="248">
        <f>('June 04'!$AJ$46)</f>
        <v>4737.55368</v>
      </c>
      <c r="M77" s="248">
        <f>('July 04'!$AJ$46)</f>
        <v>4540.2126</v>
      </c>
      <c r="N77" s="248">
        <f>('August 04'!$AJ$46)</f>
        <v>4490.256</v>
      </c>
      <c r="O77" s="313">
        <f>('September 04'!$AJ$46)</f>
        <v>3865.7401200000004</v>
      </c>
      <c r="P77" s="248">
        <f>('October 04'!$AJ$46)</f>
        <v>4798.7109</v>
      </c>
      <c r="Q77" s="248">
        <f>('November 04'!$AJ$46)</f>
        <v>4496.8446</v>
      </c>
      <c r="R77" s="248">
        <f>('December 04'!$AJ$46)</f>
        <v>4314.92418</v>
      </c>
      <c r="S77" s="166"/>
      <c r="T77" s="166" t="s">
        <v>150</v>
      </c>
      <c r="U77" s="252" t="s">
        <v>150</v>
      </c>
      <c r="V77" s="168"/>
      <c r="W77" s="163"/>
      <c r="X77" s="163"/>
      <c r="Y77" s="163"/>
      <c r="Z77" s="163"/>
      <c r="AA77" s="163" t="s">
        <v>166</v>
      </c>
      <c r="AB77" s="163"/>
      <c r="AC77" s="163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5.75" customHeight="1">
      <c r="A78" s="163"/>
      <c r="B78" s="163"/>
      <c r="C78" s="163"/>
      <c r="D78" s="163"/>
      <c r="E78" s="168"/>
      <c r="F78" s="168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166"/>
      <c r="T78" s="166"/>
      <c r="U78" s="166"/>
      <c r="V78" s="168"/>
      <c r="W78" s="163"/>
      <c r="X78" s="163"/>
      <c r="Y78" s="163"/>
      <c r="Z78" s="163"/>
      <c r="AA78" s="163"/>
      <c r="AB78" s="163"/>
      <c r="AC78" s="163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5.75" customHeight="1">
      <c r="A79" s="163"/>
      <c r="B79" s="163"/>
      <c r="C79" s="163" t="s">
        <v>85</v>
      </c>
      <c r="D79" s="163" t="s">
        <v>162</v>
      </c>
      <c r="E79" s="168" t="s">
        <v>178</v>
      </c>
      <c r="F79" s="168"/>
      <c r="G79" s="248">
        <f>('January 04'!$AK$45)</f>
        <v>173</v>
      </c>
      <c r="H79" s="248">
        <f>('February 04'!$AK$45)</f>
        <v>190</v>
      </c>
      <c r="I79" s="313">
        <f>('March 04'!$AK$45)</f>
        <v>236</v>
      </c>
      <c r="J79" s="248">
        <f>('April 04'!$AK$45)</f>
        <v>180</v>
      </c>
      <c r="K79" s="248">
        <f>('May 04'!$AK$45)</f>
        <v>160</v>
      </c>
      <c r="L79" s="248">
        <f>('June 04'!$AK$45)</f>
        <v>179</v>
      </c>
      <c r="M79" s="248">
        <f>('July 04'!$AK$45)</f>
        <v>212</v>
      </c>
      <c r="N79" s="248">
        <f>('August 04'!$AK$45)</f>
        <v>204</v>
      </c>
      <c r="O79" s="248">
        <f>('September 04'!$AK$45)</f>
        <v>183</v>
      </c>
      <c r="P79" s="248">
        <f>('October 04'!$AK$45)</f>
        <v>223</v>
      </c>
      <c r="Q79" s="248">
        <f>('November 04'!$AK$45)</f>
        <v>209</v>
      </c>
      <c r="R79" s="248">
        <f>('December 04'!$AK$45)</f>
        <v>165</v>
      </c>
      <c r="S79" s="166"/>
      <c r="T79" s="166" t="s">
        <v>150</v>
      </c>
      <c r="U79" s="252" t="s">
        <v>150</v>
      </c>
      <c r="V79" s="168"/>
      <c r="W79" s="163"/>
      <c r="X79" s="163"/>
      <c r="Y79" s="163"/>
      <c r="Z79" s="163"/>
      <c r="AA79" s="163" t="s">
        <v>163</v>
      </c>
      <c r="AB79" s="163"/>
      <c r="AC79" s="163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5.75" customHeight="1">
      <c r="A80" s="163"/>
      <c r="B80" s="163"/>
      <c r="C80" s="163"/>
      <c r="D80" s="163" t="s">
        <v>164</v>
      </c>
      <c r="E80" s="168"/>
      <c r="F80" s="168"/>
      <c r="G80" s="248">
        <f>('January 04'!$AK$47)</f>
        <v>167.5</v>
      </c>
      <c r="H80" s="248">
        <f>('February 04'!$AK$47)</f>
        <v>187.66666666666666</v>
      </c>
      <c r="I80" s="248">
        <f>('March 04'!$AK$47)</f>
        <v>200</v>
      </c>
      <c r="J80" s="248">
        <f>('April 04'!$AK$47)</f>
        <v>155.6</v>
      </c>
      <c r="K80" s="248">
        <f>('May 04'!$AK$47)</f>
        <v>153</v>
      </c>
      <c r="L80" s="248">
        <f>('June 04'!$AK$47)</f>
        <v>160.75</v>
      </c>
      <c r="M80" s="248">
        <f>('July 04'!$AK$47)</f>
        <v>181.6</v>
      </c>
      <c r="N80" s="248">
        <f>('August 04'!$AK$47)</f>
        <v>181.25</v>
      </c>
      <c r="O80" s="248">
        <f>('September 04'!$AK$47)</f>
        <v>163.5</v>
      </c>
      <c r="P80" s="248">
        <f>('October 04'!$AK$47)</f>
        <v>186.8</v>
      </c>
      <c r="Q80" s="248">
        <f>('November 04'!$AK$47)</f>
        <v>186.75</v>
      </c>
      <c r="R80" s="248">
        <f>('December 04'!$AK$47)</f>
        <v>157</v>
      </c>
      <c r="S80" s="166"/>
      <c r="T80" s="166" t="s">
        <v>150</v>
      </c>
      <c r="U80" s="311">
        <f>(IF(((SUM(G80:R80))=0)," ",(AVERAGE(G80:R80))))</f>
        <v>173.45138888888889</v>
      </c>
      <c r="V80" s="168" t="s">
        <v>178</v>
      </c>
      <c r="W80" s="163"/>
      <c r="X80" s="163"/>
      <c r="Y80" s="163"/>
      <c r="Z80" s="163"/>
      <c r="AA80" s="163" t="s">
        <v>164</v>
      </c>
      <c r="AB80" s="163"/>
      <c r="AC80" s="163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5.75" customHeight="1">
      <c r="A81" s="163"/>
      <c r="B81" s="163"/>
      <c r="C81" s="163"/>
      <c r="D81" s="163" t="s">
        <v>165</v>
      </c>
      <c r="E81" s="168"/>
      <c r="F81" s="168"/>
      <c r="G81" s="248">
        <f>('January 04'!$AK$46)</f>
        <v>162</v>
      </c>
      <c r="H81" s="248">
        <f>('February 04'!$AK$46)</f>
        <v>184</v>
      </c>
      <c r="I81" s="248">
        <f>('March 04'!$AK$46)</f>
        <v>178</v>
      </c>
      <c r="J81" s="313">
        <f>('April 04'!$AK$46)</f>
        <v>120</v>
      </c>
      <c r="K81" s="248">
        <f>('May 04'!$AK$46)</f>
        <v>148</v>
      </c>
      <c r="L81" s="248">
        <f>('June 04'!$AK$46)</f>
        <v>129</v>
      </c>
      <c r="M81" s="248">
        <f>('July 04'!$AK$46)</f>
        <v>162</v>
      </c>
      <c r="N81" s="248">
        <f>('August 04'!$AK$46)</f>
        <v>167</v>
      </c>
      <c r="O81" s="248">
        <f>('September 04'!$AK$46)</f>
        <v>151</v>
      </c>
      <c r="P81" s="248">
        <f>('October 04'!$AK$46)</f>
        <v>162</v>
      </c>
      <c r="Q81" s="248">
        <f>('November 04'!$AK$46)</f>
        <v>170</v>
      </c>
      <c r="R81" s="248">
        <f>('December 04'!$AK$46)</f>
        <v>151</v>
      </c>
      <c r="S81" s="166"/>
      <c r="T81" s="166" t="s">
        <v>150</v>
      </c>
      <c r="U81" s="252" t="s">
        <v>150</v>
      </c>
      <c r="V81" s="168"/>
      <c r="W81" s="163"/>
      <c r="X81" s="163"/>
      <c r="Y81" s="163"/>
      <c r="Z81" s="163"/>
      <c r="AA81" s="163" t="s">
        <v>166</v>
      </c>
      <c r="AB81" s="163"/>
      <c r="AC81" s="163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5.75" customHeight="1">
      <c r="A82" s="163"/>
      <c r="B82" s="163"/>
      <c r="C82" s="163"/>
      <c r="D82" s="163"/>
      <c r="E82" s="168"/>
      <c r="F82" s="168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166"/>
      <c r="T82" s="166"/>
      <c r="U82" s="166"/>
      <c r="V82" s="168"/>
      <c r="W82" s="163"/>
      <c r="X82" s="163"/>
      <c r="Y82" s="163"/>
      <c r="Z82" s="163"/>
      <c r="AA82" s="163"/>
      <c r="AB82" s="163"/>
      <c r="AC82" s="163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5.75" customHeight="1">
      <c r="A83" s="163"/>
      <c r="B83" s="163"/>
      <c r="C83" s="163" t="s">
        <v>85</v>
      </c>
      <c r="D83" s="163" t="s">
        <v>162</v>
      </c>
      <c r="E83" s="168" t="s">
        <v>174</v>
      </c>
      <c r="F83" s="168"/>
      <c r="G83" s="248">
        <f>('January 04'!$AL$45)</f>
        <v>3338.68548</v>
      </c>
      <c r="H83" s="248">
        <f>('February 04'!$AL$45)</f>
        <v>3601.7541</v>
      </c>
      <c r="I83" s="313">
        <f>('March 04'!$AL$45)</f>
        <v>4300.604399999999</v>
      </c>
      <c r="J83" s="248">
        <f>('April 04'!$AL$45)</f>
        <v>3844.8233999999998</v>
      </c>
      <c r="K83" s="248">
        <f>('May 04'!$AL$45)</f>
        <v>3701.0000999999997</v>
      </c>
      <c r="L83" s="248">
        <f>('June 04'!$AL$45)</f>
        <v>3613.8554400000003</v>
      </c>
      <c r="M83" s="248">
        <f>('July 04'!$AL$45)</f>
        <v>4156.75608</v>
      </c>
      <c r="N83" s="248">
        <f>('August 04'!$AL$45)</f>
        <v>4017.8283599999995</v>
      </c>
      <c r="O83" s="248">
        <f>('September 04'!$AL$45)</f>
        <v>3736.1865599999996</v>
      </c>
      <c r="P83" s="248">
        <f>('October 04'!$AL$45)</f>
        <v>3916.7809199999997</v>
      </c>
      <c r="Q83" s="248">
        <f>('November 04'!$AL$45)</f>
        <v>3739.4891999999995</v>
      </c>
      <c r="R83" s="248">
        <f>('December 04'!$AL$45)</f>
        <v>3980.5152000000003</v>
      </c>
      <c r="S83" s="166"/>
      <c r="T83" s="166" t="s">
        <v>150</v>
      </c>
      <c r="U83" s="252" t="s">
        <v>150</v>
      </c>
      <c r="V83" s="168"/>
      <c r="W83" s="163"/>
      <c r="X83" s="163"/>
      <c r="Y83" s="163"/>
      <c r="Z83" s="163"/>
      <c r="AA83" s="163" t="s">
        <v>163</v>
      </c>
      <c r="AB83" s="163"/>
      <c r="AC83" s="163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5.75" customHeight="1">
      <c r="A84" s="163"/>
      <c r="B84" s="163"/>
      <c r="C84" s="163"/>
      <c r="D84" s="163" t="s">
        <v>164</v>
      </c>
      <c r="E84" s="168"/>
      <c r="F84" s="168"/>
      <c r="G84" s="248">
        <f>('January 04'!$AL$47)</f>
        <v>3279.8301</v>
      </c>
      <c r="H84" s="248">
        <f>('February 04'!$AL$47)</f>
        <v>3414.00958</v>
      </c>
      <c r="I84" s="248">
        <f>('March 04'!$AL$47)</f>
        <v>3602.3462399999994</v>
      </c>
      <c r="J84" s="248">
        <f>('April 04'!$AL$47)</f>
        <v>3737.6210399999995</v>
      </c>
      <c r="K84" s="248">
        <f>('May 04'!$AL$47)</f>
        <v>3574.488555</v>
      </c>
      <c r="L84" s="248">
        <f>('June 04'!$AL$47)</f>
        <v>3355.6344449999997</v>
      </c>
      <c r="M84" s="248">
        <f>('July 04'!$AL$47)</f>
        <v>3556.8665520000004</v>
      </c>
      <c r="N84" s="248">
        <f>('August 04'!$AL$47)</f>
        <v>3694.8973049999995</v>
      </c>
      <c r="O84" s="248">
        <f>('September 04'!$AL$47)</f>
        <v>3489.449745</v>
      </c>
      <c r="P84" s="248">
        <f>('October 04'!$AL$47)</f>
        <v>3425.1879600000007</v>
      </c>
      <c r="Q84" s="248">
        <f>('November 04'!$AL$47)</f>
        <v>3474.5565899999997</v>
      </c>
      <c r="R84" s="248">
        <f>('December 04'!$AL$47)</f>
        <v>3417.516828</v>
      </c>
      <c r="S84" s="166"/>
      <c r="T84" s="166" t="s">
        <v>150</v>
      </c>
      <c r="U84" s="311">
        <f>(IF(((SUM(G84:R84))=0)," ",(AVERAGE(G84:R84))))</f>
        <v>3501.867078333333</v>
      </c>
      <c r="V84" s="168" t="s">
        <v>174</v>
      </c>
      <c r="W84" s="163"/>
      <c r="X84" s="163"/>
      <c r="Y84" s="163"/>
      <c r="Z84" s="163"/>
      <c r="AA84" s="163" t="s">
        <v>164</v>
      </c>
      <c r="AB84" s="163"/>
      <c r="AC84" s="163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5.75" customHeight="1">
      <c r="A85" s="163"/>
      <c r="B85" s="163"/>
      <c r="C85" s="163"/>
      <c r="D85" s="163" t="s">
        <v>165</v>
      </c>
      <c r="E85" s="168"/>
      <c r="F85" s="168"/>
      <c r="G85" s="248">
        <f>('January 04'!$AL$46)</f>
        <v>3220.9747199999997</v>
      </c>
      <c r="H85" s="248">
        <f>('February 04'!$AL$46)</f>
        <v>3182.67744</v>
      </c>
      <c r="I85" s="248">
        <f>('March 04'!$AL$46)</f>
        <v>3044.75052</v>
      </c>
      <c r="J85" s="248">
        <f>('April 04'!$AL$46)</f>
        <v>3540.8304</v>
      </c>
      <c r="K85" s="248">
        <f>('May 04'!$AL$46)</f>
        <v>3446.2214399999993</v>
      </c>
      <c r="L85" s="248">
        <f>('June 04'!$AL$46)</f>
        <v>3074.8078800000003</v>
      </c>
      <c r="M85" s="248">
        <f>('July 04'!$AL$46)</f>
        <v>3084.5239800000004</v>
      </c>
      <c r="N85" s="248">
        <f>('August 04'!$AL$46)</f>
        <v>3366.3492599999995</v>
      </c>
      <c r="O85" s="313">
        <f>('September 04'!$AL$46)</f>
        <v>2998.4885399999994</v>
      </c>
      <c r="P85" s="248">
        <f>('October 04'!$AL$46)</f>
        <v>3148.0164000000004</v>
      </c>
      <c r="Q85" s="248">
        <f>('November 04'!$AL$46)</f>
        <v>3032.6741999999995</v>
      </c>
      <c r="R85" s="248">
        <f>('December 04'!$AL$46)</f>
        <v>3019.89732</v>
      </c>
      <c r="S85" s="166"/>
      <c r="T85" s="166" t="s">
        <v>150</v>
      </c>
      <c r="U85" s="252" t="s">
        <v>150</v>
      </c>
      <c r="V85" s="168"/>
      <c r="W85" s="163"/>
      <c r="X85" s="163"/>
      <c r="Y85" s="163"/>
      <c r="Z85" s="163"/>
      <c r="AA85" s="163" t="s">
        <v>166</v>
      </c>
      <c r="AB85" s="163"/>
      <c r="AC85" s="163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5.75" customHeight="1">
      <c r="A86" s="163"/>
      <c r="B86" s="163"/>
      <c r="C86" s="163"/>
      <c r="D86" s="163"/>
      <c r="E86" s="168"/>
      <c r="F86" s="168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166"/>
      <c r="T86" s="166"/>
      <c r="U86" s="166"/>
      <c r="V86" s="168"/>
      <c r="W86" s="163"/>
      <c r="X86" s="174"/>
      <c r="Y86" s="174"/>
      <c r="Z86" s="174"/>
      <c r="AA86" s="163"/>
      <c r="AB86" s="163"/>
      <c r="AC86" s="163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.75" customHeight="1">
      <c r="A87" s="163"/>
      <c r="B87" s="163"/>
      <c r="C87" s="163" t="s">
        <v>86</v>
      </c>
      <c r="D87" s="163" t="s">
        <v>162</v>
      </c>
      <c r="E87" s="168" t="s">
        <v>178</v>
      </c>
      <c r="F87" s="168"/>
      <c r="G87" s="248">
        <f>('January 04'!$AM$45)</f>
        <v>18</v>
      </c>
      <c r="H87" s="248">
        <f>('February 04'!$AM$45)</f>
        <v>24</v>
      </c>
      <c r="I87" s="248">
        <f>('March 04'!$AM$45)</f>
        <v>24</v>
      </c>
      <c r="J87" s="248">
        <f>('April 04'!$AM$45)</f>
        <v>24</v>
      </c>
      <c r="K87" s="248">
        <f>('May 04'!$AM$45)</f>
        <v>25</v>
      </c>
      <c r="L87" s="248">
        <f>('June 04'!$AM$45)</f>
        <v>20</v>
      </c>
      <c r="M87" s="248">
        <f>('July 04'!$AM$45)</f>
        <v>19</v>
      </c>
      <c r="N87" s="248">
        <f>('August 04'!$AM$45)</f>
        <v>20</v>
      </c>
      <c r="O87" s="248">
        <f>('September 04'!$AM$45)</f>
        <v>21</v>
      </c>
      <c r="P87" s="313">
        <f>('October 04'!$AM$45)</f>
        <v>27</v>
      </c>
      <c r="Q87" s="248">
        <f>('November 04'!$AM$45)</f>
        <v>22</v>
      </c>
      <c r="R87" s="313">
        <f>('December 04'!$AM$45)</f>
        <v>27</v>
      </c>
      <c r="S87" s="166"/>
      <c r="T87" s="166" t="s">
        <v>150</v>
      </c>
      <c r="U87" s="316">
        <f>(IF(((SUM(G87:R87))=0)," ",(MAX(G87:R87))))</f>
        <v>27</v>
      </c>
      <c r="V87" s="168"/>
      <c r="W87" s="163"/>
      <c r="X87" s="174">
        <v>50</v>
      </c>
      <c r="Y87" s="174"/>
      <c r="Z87" s="174"/>
      <c r="AA87" s="163" t="s">
        <v>163</v>
      </c>
      <c r="AB87" s="163"/>
      <c r="AC87" s="163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.75" customHeight="1">
      <c r="A88" s="163"/>
      <c r="B88" s="163"/>
      <c r="C88" s="163"/>
      <c r="D88" s="163" t="s">
        <v>164</v>
      </c>
      <c r="E88" s="168"/>
      <c r="F88" s="168"/>
      <c r="G88" s="248">
        <f>('January 04'!$AM$47)</f>
        <v>14.615384615384615</v>
      </c>
      <c r="H88" s="248">
        <f>('February 04'!$AM$47)</f>
        <v>19.666666666666668</v>
      </c>
      <c r="I88" s="248">
        <f>('March 04'!$AM$47)</f>
        <v>18.615384615384617</v>
      </c>
      <c r="J88" s="248">
        <f>('April 04'!$AM$47)</f>
        <v>19.285714285714285</v>
      </c>
      <c r="K88" s="248">
        <f>('May 04'!$AM$47)</f>
        <v>18.916666666666668</v>
      </c>
      <c r="L88" s="248">
        <f>('June 04'!$AM$47)</f>
        <v>17.153846153846153</v>
      </c>
      <c r="M88" s="248">
        <f>('July 04'!$AM$47)</f>
        <v>13.642857142857142</v>
      </c>
      <c r="N88" s="248">
        <f>('August 04'!$AM$47)</f>
        <v>12.833333333333334</v>
      </c>
      <c r="O88" s="248">
        <f>('September 04'!$AM$47)</f>
        <v>14.642857142857142</v>
      </c>
      <c r="P88" s="248">
        <f>('October 04'!$AM$47)</f>
        <v>16.53846153846154</v>
      </c>
      <c r="Q88" s="248">
        <f>('November 04'!$AM$47)</f>
        <v>17.583333333333332</v>
      </c>
      <c r="R88" s="248">
        <f>('December 04'!$AM$47)</f>
        <v>16.466666666666665</v>
      </c>
      <c r="S88" s="166"/>
      <c r="T88" s="166" t="s">
        <v>150</v>
      </c>
      <c r="U88" s="316">
        <f>(IF(((SUM(G88:R88))=0)," ",(AVERAGE(G88:R88))))</f>
        <v>16.663431013431016</v>
      </c>
      <c r="V88" s="168" t="s">
        <v>178</v>
      </c>
      <c r="W88" s="163"/>
      <c r="X88" s="174">
        <v>30</v>
      </c>
      <c r="Y88" s="174"/>
      <c r="Z88" s="174"/>
      <c r="AA88" s="163" t="s">
        <v>164</v>
      </c>
      <c r="AB88" s="163"/>
      <c r="AC88" s="163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5.75" customHeight="1">
      <c r="A89" s="163"/>
      <c r="B89" s="163"/>
      <c r="C89" s="163"/>
      <c r="D89" s="163" t="s">
        <v>165</v>
      </c>
      <c r="E89" s="168"/>
      <c r="F89" s="168"/>
      <c r="G89" s="248">
        <f>('January 04'!$AM$46)</f>
        <v>12</v>
      </c>
      <c r="H89" s="248">
        <f>('February 04'!$AM$46)</f>
        <v>15</v>
      </c>
      <c r="I89" s="248">
        <f>('March 04'!$AM$46)</f>
        <v>15</v>
      </c>
      <c r="J89" s="248">
        <f>('April 04'!$AM$46)</f>
        <v>15</v>
      </c>
      <c r="K89" s="248">
        <f>('May 04'!$AM$46)</f>
        <v>17</v>
      </c>
      <c r="L89" s="248">
        <f>('June 04'!$AM$46)</f>
        <v>15</v>
      </c>
      <c r="M89" s="248">
        <f>('July 04'!$AM$46)</f>
        <v>10</v>
      </c>
      <c r="N89" s="313">
        <f>('August 04'!$AM$46)</f>
        <v>9</v>
      </c>
      <c r="O89" s="313">
        <f>('September 04'!$AM$46)</f>
        <v>9</v>
      </c>
      <c r="P89" s="248">
        <f>('October 04'!$AM$46)</f>
        <v>12</v>
      </c>
      <c r="Q89" s="248">
        <f>('November 04'!$AM$46)</f>
        <v>14</v>
      </c>
      <c r="R89" s="248">
        <f>('December 04'!$AM$46)</f>
        <v>11</v>
      </c>
      <c r="S89" s="166"/>
      <c r="T89" s="166" t="s">
        <v>150</v>
      </c>
      <c r="U89" s="252" t="s">
        <v>150</v>
      </c>
      <c r="V89" s="168"/>
      <c r="W89" s="163"/>
      <c r="X89" s="174"/>
      <c r="Y89" s="174"/>
      <c r="Z89" s="174"/>
      <c r="AA89" s="163" t="s">
        <v>166</v>
      </c>
      <c r="AB89" s="163"/>
      <c r="AC89" s="163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5.75" customHeight="1">
      <c r="A90" s="163"/>
      <c r="B90" s="163"/>
      <c r="C90" s="163"/>
      <c r="D90" s="163"/>
      <c r="E90" s="168"/>
      <c r="F90" s="168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166"/>
      <c r="T90" s="166"/>
      <c r="U90" s="166"/>
      <c r="V90" s="168"/>
      <c r="W90" s="163"/>
      <c r="X90" s="174"/>
      <c r="Y90" s="174"/>
      <c r="Z90" s="174"/>
      <c r="AA90" s="163"/>
      <c r="AB90" s="163"/>
      <c r="AC90" s="163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5.75" customHeight="1">
      <c r="A91" s="163"/>
      <c r="B91" s="163"/>
      <c r="C91" s="163" t="s">
        <v>86</v>
      </c>
      <c r="D91" s="163" t="s">
        <v>162</v>
      </c>
      <c r="E91" s="168" t="s">
        <v>174</v>
      </c>
      <c r="F91" s="168"/>
      <c r="G91" s="248">
        <f>('January 04'!$AN$45)</f>
        <v>352.18152000000003</v>
      </c>
      <c r="H91" s="248">
        <f>('February 04'!$AN$45)</f>
        <v>431.34479999999996</v>
      </c>
      <c r="I91" s="248">
        <f>('March 04'!$AN$45)</f>
        <v>427.74192</v>
      </c>
      <c r="J91" s="313">
        <f>('April 04'!$AN$45)</f>
        <v>714.33768</v>
      </c>
      <c r="K91" s="248">
        <f>('May 04'!$AN$45)</f>
        <v>552.3164999999999</v>
      </c>
      <c r="L91" s="248">
        <f>('June 04'!$AN$45)</f>
        <v>463.87080000000003</v>
      </c>
      <c r="M91" s="248">
        <f>('July 04'!$AN$45)</f>
        <v>381.57167999999996</v>
      </c>
      <c r="N91" s="248">
        <f>('August 04'!$AN$45)</f>
        <v>371.29679999999996</v>
      </c>
      <c r="O91" s="248">
        <f>('September 04'!$AN$45)</f>
        <v>410.35302</v>
      </c>
      <c r="P91" s="248">
        <f>('October 04'!$AN$45)</f>
        <v>515.6622</v>
      </c>
      <c r="Q91" s="248">
        <f>('November 04'!$AN$45)</f>
        <v>408.243</v>
      </c>
      <c r="R91" s="248">
        <f>('December 04'!$AN$45)</f>
        <v>539.75646</v>
      </c>
      <c r="S91" s="166"/>
      <c r="T91" s="166" t="s">
        <v>150</v>
      </c>
      <c r="U91" s="318">
        <f>(IF(((SUM(G91:R91))=0)," ",(MAX(G91:R91))))</f>
        <v>714.33768</v>
      </c>
      <c r="V91" s="168"/>
      <c r="W91" s="163"/>
      <c r="X91" s="323">
        <v>1605</v>
      </c>
      <c r="Y91" s="163"/>
      <c r="Z91" s="163"/>
      <c r="AA91" s="163" t="s">
        <v>163</v>
      </c>
      <c r="AB91" s="163"/>
      <c r="AC91" s="163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5.75" customHeight="1">
      <c r="A92" s="163"/>
      <c r="B92" s="163"/>
      <c r="C92" s="163"/>
      <c r="D92" s="163" t="s">
        <v>164</v>
      </c>
      <c r="E92" s="168"/>
      <c r="F92" s="168"/>
      <c r="G92" s="248">
        <f>('January 04'!$AN$47)</f>
        <v>309.2414261538462</v>
      </c>
      <c r="H92" s="248">
        <f>('February 04'!$AN$47)</f>
        <v>372.53111999999993</v>
      </c>
      <c r="I92" s="248">
        <f>('March 04'!$AN$47)</f>
        <v>330.08885999999995</v>
      </c>
      <c r="J92" s="248">
        <f>('April 04'!$AN$47)</f>
        <v>495.77606571428583</v>
      </c>
      <c r="K92" s="248">
        <f>('May 04'!$AN$47)</f>
        <v>449.02143</v>
      </c>
      <c r="L92" s="248">
        <f>('June 04'!$AN$47)</f>
        <v>362.5032323076923</v>
      </c>
      <c r="M92" s="248">
        <f>('July 04'!$AN$47)</f>
        <v>263.1365314285714</v>
      </c>
      <c r="N92" s="248">
        <f>('August 04'!$AN$47)</f>
        <v>249.698905</v>
      </c>
      <c r="O92" s="248">
        <f>('September 04'!$AN$47)</f>
        <v>304.9949914285714</v>
      </c>
      <c r="P92" s="248">
        <f>('October 04'!$AN$47)</f>
        <v>307.3495292307692</v>
      </c>
      <c r="Q92" s="248">
        <f>('November 04'!$AN$47)</f>
        <v>318.00698000000006</v>
      </c>
      <c r="R92" s="248">
        <f>('December 04'!$AN$47)</f>
        <v>356.91141200000004</v>
      </c>
      <c r="S92" s="166"/>
      <c r="T92" s="166" t="s">
        <v>150</v>
      </c>
      <c r="U92" s="318">
        <f>(IF(((SUM(G92:R92))=0)," ",(AVERAGE(G92:R92))))</f>
        <v>343.27170693864474</v>
      </c>
      <c r="V92" s="168" t="s">
        <v>174</v>
      </c>
      <c r="W92" s="163"/>
      <c r="X92" s="163">
        <v>963</v>
      </c>
      <c r="Y92" s="163"/>
      <c r="Z92" s="163"/>
      <c r="AA92" s="163" t="s">
        <v>164</v>
      </c>
      <c r="AB92" s="163"/>
      <c r="AC92" s="163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5.75" customHeight="1">
      <c r="A93" s="163"/>
      <c r="B93" s="163"/>
      <c r="C93" s="163"/>
      <c r="D93" s="163" t="s">
        <v>165</v>
      </c>
      <c r="E93" s="168"/>
      <c r="F93" s="168"/>
      <c r="G93" s="248">
        <f>('January 04'!$AN$46)</f>
        <v>256.80528</v>
      </c>
      <c r="H93" s="248">
        <f>('February 04'!$AN$46)</f>
        <v>298.73879999999997</v>
      </c>
      <c r="I93" s="248">
        <f>('March 04'!$AN$46)</f>
        <v>249.07410000000002</v>
      </c>
      <c r="J93" s="248">
        <f>('April 04'!$AN$46)</f>
        <v>360.28799999999995</v>
      </c>
      <c r="K93" s="248">
        <f>('May 04'!$AN$46)</f>
        <v>370.89648</v>
      </c>
      <c r="L93" s="248">
        <f>('June 04'!$AN$46)</f>
        <v>287.35470000000004</v>
      </c>
      <c r="M93" s="248">
        <f>('July 04'!$AN$46)</f>
        <v>201.3276</v>
      </c>
      <c r="N93" s="313">
        <f>('August 04'!$AN$46)</f>
        <v>176.46606</v>
      </c>
      <c r="O93" s="313">
        <f>('September 04'!$AN$46)</f>
        <v>175.71546</v>
      </c>
      <c r="P93" s="248">
        <f>('October 04'!$AN$46)</f>
        <v>215.67239999999998</v>
      </c>
      <c r="Q93" s="248">
        <f>('November 04'!$AN$46)</f>
        <v>247.88148</v>
      </c>
      <c r="R93" s="248">
        <f>('December 04'!$AN$46)</f>
        <v>222.83646</v>
      </c>
      <c r="S93" s="166"/>
      <c r="T93" s="166" t="s">
        <v>150</v>
      </c>
      <c r="U93" s="252" t="s">
        <v>150</v>
      </c>
      <c r="V93" s="168"/>
      <c r="W93" s="163"/>
      <c r="X93" s="163"/>
      <c r="Y93" s="163"/>
      <c r="Z93" s="163"/>
      <c r="AA93" s="163" t="s">
        <v>166</v>
      </c>
      <c r="AB93" s="163"/>
      <c r="AC93" s="163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5.75" customHeight="1">
      <c r="A94" s="163"/>
      <c r="B94" s="163"/>
      <c r="C94" s="163"/>
      <c r="D94" s="163"/>
      <c r="E94" s="168"/>
      <c r="F94" s="168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66"/>
      <c r="T94" s="166"/>
      <c r="U94" s="166"/>
      <c r="V94" s="168"/>
      <c r="W94" s="163"/>
      <c r="X94" s="163"/>
      <c r="Y94" s="163"/>
      <c r="Z94" s="163"/>
      <c r="AA94" s="163"/>
      <c r="AB94" s="163"/>
      <c r="AC94" s="163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5.75" customHeight="1">
      <c r="A95" s="163"/>
      <c r="B95" s="163"/>
      <c r="C95" s="163" t="s">
        <v>86</v>
      </c>
      <c r="D95" s="163" t="s">
        <v>179</v>
      </c>
      <c r="E95" s="168" t="s">
        <v>129</v>
      </c>
      <c r="F95" s="168"/>
      <c r="G95" s="251">
        <f>('January 04'!$AN$49)</f>
        <v>93.55843851089763</v>
      </c>
      <c r="H95" s="251">
        <f>('February 04'!$AN$49)</f>
        <v>93.2074906469558</v>
      </c>
      <c r="I95" s="251">
        <f>('March 04'!$AN$49)</f>
        <v>93.70416487101006</v>
      </c>
      <c r="J95" s="315">
        <f>('April 04'!$AN$49)</f>
        <v>90.91512161468097</v>
      </c>
      <c r="K95" s="251">
        <f>('May 04'!$AN$49)</f>
        <v>91.85013684834996</v>
      </c>
      <c r="L95" s="251">
        <f>('June 04'!$AN$49)</f>
        <v>93.52589079969863</v>
      </c>
      <c r="M95" s="251">
        <f>('July 04'!$AN$49)</f>
        <v>95.14817733719605</v>
      </c>
      <c r="N95" s="315">
        <f>('August 04'!$AN$49)</f>
        <v>95.38434362120884</v>
      </c>
      <c r="O95" s="251">
        <f>('September 04'!$AN$49)</f>
        <v>94.68319393015402</v>
      </c>
      <c r="P95" s="251">
        <f>('October 04'!$AN$49)</f>
        <v>95.01734012065542</v>
      </c>
      <c r="Q95" s="251">
        <f>('November 04'!$AN$49)</f>
        <v>94.71359979148501</v>
      </c>
      <c r="R95" s="251">
        <f>('December 04'!$AN$49)</f>
        <v>93.20723670287063</v>
      </c>
      <c r="S95" s="166"/>
      <c r="T95" s="166" t="s">
        <v>150</v>
      </c>
      <c r="U95" s="319">
        <f>(IF(((SUM(G95:R95))=0)," ",(AVERAGE(G95:R95))))</f>
        <v>93.74292789959692</v>
      </c>
      <c r="V95" s="168" t="s">
        <v>129</v>
      </c>
      <c r="W95" s="163"/>
      <c r="X95" s="321">
        <v>85</v>
      </c>
      <c r="Y95" s="163"/>
      <c r="Z95" s="163"/>
      <c r="AA95" s="163" t="s">
        <v>164</v>
      </c>
      <c r="AB95" s="163"/>
      <c r="AC95" s="163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5.75" customHeight="1">
      <c r="A96" s="163"/>
      <c r="B96" s="163"/>
      <c r="C96" s="163"/>
      <c r="D96" s="163"/>
      <c r="E96" s="168"/>
      <c r="F96" s="168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66"/>
      <c r="T96" s="166"/>
      <c r="U96" s="166"/>
      <c r="V96" s="168"/>
      <c r="W96" s="163"/>
      <c r="X96" s="163"/>
      <c r="Y96" s="163"/>
      <c r="Z96" s="163"/>
      <c r="AA96" s="163"/>
      <c r="AB96" s="163"/>
      <c r="AC96" s="163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5.75" customHeight="1">
      <c r="A97" s="163"/>
      <c r="B97" s="163" t="s">
        <v>17</v>
      </c>
      <c r="C97" s="163" t="s">
        <v>86</v>
      </c>
      <c r="D97" s="163" t="s">
        <v>162</v>
      </c>
      <c r="E97" s="168" t="s">
        <v>178</v>
      </c>
      <c r="F97" s="168"/>
      <c r="G97" s="248">
        <f>('January 04'!$AO$45)</f>
        <v>13</v>
      </c>
      <c r="H97" s="248">
        <f>('February 04'!$AO$45)</f>
        <v>18</v>
      </c>
      <c r="I97" s="313">
        <f>('March 04'!$AO$45)</f>
        <v>22</v>
      </c>
      <c r="J97" s="248">
        <f>('April 04'!$AO$45)</f>
        <v>16</v>
      </c>
      <c r="K97" s="248">
        <f>('May 04'!$AO$45)</f>
        <v>14</v>
      </c>
      <c r="L97" s="248">
        <f>('June 04'!$AO$45)</f>
        <v>20</v>
      </c>
      <c r="M97" s="248">
        <f>('July 04'!$AO$45)</f>
        <v>15</v>
      </c>
      <c r="N97" s="248">
        <f>('August 04'!$AO$45)</f>
        <v>16</v>
      </c>
      <c r="O97" s="248">
        <f>('September 04'!$AO$45)</f>
        <v>17</v>
      </c>
      <c r="P97" s="248">
        <f>('October 04'!$AO$45)</f>
        <v>15</v>
      </c>
      <c r="Q97" s="248">
        <f>('November 04'!$AO$45)</f>
        <v>14</v>
      </c>
      <c r="R97" s="248">
        <f>('December 04'!$AO$45)</f>
        <v>12</v>
      </c>
      <c r="S97" s="166"/>
      <c r="T97" s="166" t="s">
        <v>150</v>
      </c>
      <c r="U97" s="252" t="s">
        <v>150</v>
      </c>
      <c r="V97" s="168"/>
      <c r="W97" s="163"/>
      <c r="X97" s="163"/>
      <c r="Y97" s="163"/>
      <c r="Z97" s="163"/>
      <c r="AA97" s="163" t="s">
        <v>163</v>
      </c>
      <c r="AB97" s="163"/>
      <c r="AC97" s="163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5.75" customHeight="1">
      <c r="A98" s="163"/>
      <c r="B98" s="163"/>
      <c r="C98" s="163"/>
      <c r="D98" s="163" t="s">
        <v>164</v>
      </c>
      <c r="E98" s="168"/>
      <c r="F98" s="168"/>
      <c r="G98" s="248">
        <f>('January 04'!$AO$47)</f>
        <v>10.538461538461538</v>
      </c>
      <c r="H98" s="248">
        <f>('February 04'!$AO$47)</f>
        <v>14.416666666666666</v>
      </c>
      <c r="I98" s="248">
        <f>('March 04'!$AO$47)</f>
        <v>14.153846153846153</v>
      </c>
      <c r="J98" s="248">
        <f>('April 04'!$AO$47)</f>
        <v>13.538461538461538</v>
      </c>
      <c r="K98" s="248">
        <f>('May 04'!$AO$47)</f>
        <v>12.166666666666666</v>
      </c>
      <c r="L98" s="248">
        <f>('June 04'!$AO$47)</f>
        <v>12.076923076923077</v>
      </c>
      <c r="M98" s="248">
        <f>('July 04'!$AO$47)</f>
        <v>10.357142857142858</v>
      </c>
      <c r="N98" s="248">
        <f>('August 04'!$AO$47)</f>
        <v>9.916666666666666</v>
      </c>
      <c r="O98" s="248">
        <f>('September 04'!$AO$47)</f>
        <v>11.307692307692308</v>
      </c>
      <c r="P98" s="248">
        <f>('October 04'!$AO$47)</f>
        <v>9.23076923076923</v>
      </c>
      <c r="Q98" s="248">
        <f>('November 04'!$AO$47)</f>
        <v>9.909090909090908</v>
      </c>
      <c r="R98" s="248">
        <f>('December 04'!$AO$47)</f>
        <v>10.2</v>
      </c>
      <c r="S98" s="166"/>
      <c r="T98" s="166" t="s">
        <v>150</v>
      </c>
      <c r="U98" s="252">
        <f>(IF(((SUM(G98:R98))=0)," ",(AVERAGE(G98:R98))))</f>
        <v>11.484365634365636</v>
      </c>
      <c r="V98" s="168" t="s">
        <v>178</v>
      </c>
      <c r="W98" s="163"/>
      <c r="X98" s="163"/>
      <c r="Y98" s="163"/>
      <c r="Z98" s="163"/>
      <c r="AA98" s="163" t="s">
        <v>164</v>
      </c>
      <c r="AB98" s="163"/>
      <c r="AC98" s="163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5.75" customHeight="1">
      <c r="A99" s="163"/>
      <c r="B99" s="163"/>
      <c r="C99" s="163"/>
      <c r="D99" s="163" t="s">
        <v>165</v>
      </c>
      <c r="E99" s="168"/>
      <c r="F99" s="168"/>
      <c r="G99" s="248">
        <f>('January 04'!$AO$46)</f>
        <v>8</v>
      </c>
      <c r="H99" s="248">
        <f>('February 04'!$AO$46)</f>
        <v>11</v>
      </c>
      <c r="I99" s="248">
        <f>('March 04'!$AO$46)</f>
        <v>9</v>
      </c>
      <c r="J99" s="248">
        <f>('April 04'!$AO$46)</f>
        <v>11</v>
      </c>
      <c r="K99" s="248">
        <f>('May 04'!$AO$46)</f>
        <v>11</v>
      </c>
      <c r="L99" s="248">
        <f>('June 04'!$AO$46)</f>
        <v>8</v>
      </c>
      <c r="M99" s="248">
        <f>('July 04'!$AO$46)</f>
        <v>8</v>
      </c>
      <c r="N99" s="313">
        <f>('August 04'!$AO$46)</f>
        <v>7</v>
      </c>
      <c r="O99" s="248">
        <f>('September 04'!$AO$46)</f>
        <v>8</v>
      </c>
      <c r="P99" s="313">
        <f>('October 04'!$AO$46)</f>
        <v>7</v>
      </c>
      <c r="Q99" s="248">
        <f>('November 04'!$AO$46)</f>
        <v>8</v>
      </c>
      <c r="R99" s="248">
        <f>('December 04'!$AO$46)</f>
        <v>8</v>
      </c>
      <c r="S99" s="166"/>
      <c r="T99" s="166" t="s">
        <v>150</v>
      </c>
      <c r="U99" s="252" t="s">
        <v>150</v>
      </c>
      <c r="V99" s="168"/>
      <c r="W99" s="163"/>
      <c r="X99" s="163"/>
      <c r="Y99" s="163"/>
      <c r="Z99" s="163"/>
      <c r="AA99" s="163" t="s">
        <v>166</v>
      </c>
      <c r="AB99" s="163"/>
      <c r="AC99" s="163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5.75" customHeight="1">
      <c r="A100" s="163"/>
      <c r="B100" s="163"/>
      <c r="C100" s="163"/>
      <c r="D100" s="163"/>
      <c r="E100" s="168"/>
      <c r="F100" s="168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66"/>
      <c r="T100" s="166"/>
      <c r="U100" s="166"/>
      <c r="V100" s="168"/>
      <c r="W100" s="163"/>
      <c r="X100" s="163"/>
      <c r="Y100" s="163"/>
      <c r="Z100" s="163"/>
      <c r="AA100" s="163"/>
      <c r="AB100" s="163"/>
      <c r="AC100" s="163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5.75" customHeight="1">
      <c r="A101" s="163"/>
      <c r="B101" s="163"/>
      <c r="C101" s="163" t="s">
        <v>86</v>
      </c>
      <c r="D101" s="163" t="s">
        <v>179</v>
      </c>
      <c r="E101" s="168" t="s">
        <v>129</v>
      </c>
      <c r="F101" s="168"/>
      <c r="G101" s="251">
        <f>('January 04'!$CJ$37)</f>
        <v>95.28228437961317</v>
      </c>
      <c r="H101" s="251">
        <f>('February 04'!$CJ$37)</f>
        <v>95.12907865248829</v>
      </c>
      <c r="I101" s="251">
        <f>('March 04'!$CJ$37)</f>
        <v>95.25473681520475</v>
      </c>
      <c r="J101" s="315">
        <f>('April 04'!$CJ$37)</f>
        <v>93.85515390776555</v>
      </c>
      <c r="K101" s="251">
        <f>('May 04'!$CJ$37)</f>
        <v>94.82511854623405</v>
      </c>
      <c r="L101" s="251">
        <f>('June 04'!$CJ$37)</f>
        <v>95.573671066007</v>
      </c>
      <c r="M101" s="251">
        <f>('July 04'!$CJ$37)</f>
        <v>96.37994832081786</v>
      </c>
      <c r="N101" s="251">
        <f>('August 04'!$CJ$37)</f>
        <v>96.36319867216201</v>
      </c>
      <c r="O101" s="251">
        <f>('September 04'!$CJ$37)</f>
        <v>95.95935565279855</v>
      </c>
      <c r="P101" s="315">
        <f>('October 04'!$CJ$37)</f>
        <v>97.22978917006111</v>
      </c>
      <c r="Q101" s="251">
        <f>('November 04'!$CJ$37)</f>
        <v>96.98137905605523</v>
      </c>
      <c r="R101" s="251">
        <f>('December 04'!$CJ$37)</f>
        <v>95.76697931421454</v>
      </c>
      <c r="S101" s="166"/>
      <c r="T101" s="166" t="s">
        <v>150</v>
      </c>
      <c r="U101" s="310">
        <f>(IF(((SUM(G101:R101))=0)," ",(AVERAGE(G101:R101))))</f>
        <v>95.71672446278517</v>
      </c>
      <c r="V101" s="168" t="s">
        <v>129</v>
      </c>
      <c r="W101" s="163"/>
      <c r="X101" s="163"/>
      <c r="Y101" s="163"/>
      <c r="Z101" s="163"/>
      <c r="AA101" s="163" t="s">
        <v>164</v>
      </c>
      <c r="AB101" s="163"/>
      <c r="AC101" s="163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5.75" customHeight="1">
      <c r="A102" s="163"/>
      <c r="B102" s="163"/>
      <c r="C102" s="163"/>
      <c r="D102" s="163"/>
      <c r="E102" s="168"/>
      <c r="F102" s="168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66"/>
      <c r="T102" s="166"/>
      <c r="U102" s="166"/>
      <c r="V102" s="168"/>
      <c r="W102" s="163"/>
      <c r="X102" s="163"/>
      <c r="Y102" s="163"/>
      <c r="Z102" s="163"/>
      <c r="AA102" s="163"/>
      <c r="AB102" s="163"/>
      <c r="AC102" s="163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5.75" customHeight="1">
      <c r="A103" s="163"/>
      <c r="B103" s="163" t="s">
        <v>18</v>
      </c>
      <c r="C103" s="163"/>
      <c r="D103" s="163"/>
      <c r="E103" s="168"/>
      <c r="F103" s="168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66"/>
      <c r="T103" s="166"/>
      <c r="U103" s="166"/>
      <c r="V103" s="168"/>
      <c r="W103" s="163"/>
      <c r="X103" s="163"/>
      <c r="Y103" s="163"/>
      <c r="Z103" s="163"/>
      <c r="AA103" s="163"/>
      <c r="AB103" s="163"/>
      <c r="AC103" s="163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5.75" customHeight="1">
      <c r="A104" s="163"/>
      <c r="B104" s="163"/>
      <c r="C104" s="163" t="s">
        <v>84</v>
      </c>
      <c r="D104" s="163" t="s">
        <v>162</v>
      </c>
      <c r="E104" s="168" t="s">
        <v>178</v>
      </c>
      <c r="F104" s="168"/>
      <c r="G104" s="248">
        <f>('January 04'!$AQ$45)</f>
        <v>292</v>
      </c>
      <c r="H104" s="248">
        <f>('February 04'!$AQ$45)</f>
        <v>308</v>
      </c>
      <c r="I104" s="248">
        <f>('March 04'!$AQ$45)</f>
        <v>300</v>
      </c>
      <c r="J104" s="248">
        <f>('April 04'!$AQ$45)</f>
        <v>298</v>
      </c>
      <c r="K104" s="248">
        <f>('May 04'!$AQ$45)</f>
        <v>258</v>
      </c>
      <c r="L104" s="248">
        <f>('June 04'!$AQ$45)</f>
        <v>342</v>
      </c>
      <c r="M104" s="248">
        <f>('July 04'!$AQ$45)</f>
        <v>332</v>
      </c>
      <c r="N104" s="248">
        <f>('August 04'!$AQ$45)</f>
        <v>346</v>
      </c>
      <c r="O104" s="248">
        <f>('September 04'!$AQ$45)</f>
        <v>308</v>
      </c>
      <c r="P104" s="313">
        <f>('October 04'!$AQ$45)</f>
        <v>406</v>
      </c>
      <c r="Q104" s="248">
        <f>('November 04'!$AQ$45)</f>
        <v>402</v>
      </c>
      <c r="R104" s="248">
        <f>('December 04'!$AQ$45)</f>
        <v>282</v>
      </c>
      <c r="S104" s="166"/>
      <c r="T104" s="166" t="s">
        <v>150</v>
      </c>
      <c r="U104" s="252" t="s">
        <v>150</v>
      </c>
      <c r="V104" s="168"/>
      <c r="W104" s="163"/>
      <c r="X104" s="163"/>
      <c r="Y104" s="163"/>
      <c r="Z104" s="163"/>
      <c r="AA104" s="163" t="s">
        <v>163</v>
      </c>
      <c r="AB104" s="163"/>
      <c r="AC104" s="163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5.75" customHeight="1">
      <c r="A105" s="163"/>
      <c r="B105" s="163"/>
      <c r="C105" s="163"/>
      <c r="D105" s="163" t="s">
        <v>164</v>
      </c>
      <c r="E105" s="168"/>
      <c r="F105" s="168"/>
      <c r="G105" s="248">
        <f>('January 04'!$AQ$47)</f>
        <v>196.15384615384616</v>
      </c>
      <c r="H105" s="248">
        <f>('February 04'!$AQ$47)</f>
        <v>242.33333333333334</v>
      </c>
      <c r="I105" s="248">
        <f>('March 04'!$AQ$47)</f>
        <v>240</v>
      </c>
      <c r="J105" s="248">
        <f>('April 04'!$AQ$47)</f>
        <v>206.57142857142858</v>
      </c>
      <c r="K105" s="248">
        <f>('May 04'!$AQ$47)</f>
        <v>218.36363636363637</v>
      </c>
      <c r="L105" s="248">
        <f>('June 04'!$AQ$47)</f>
        <v>247.07692307692307</v>
      </c>
      <c r="M105" s="248">
        <f>('July 04'!$AQ$47)</f>
        <v>278.14285714285717</v>
      </c>
      <c r="N105" s="248">
        <f>('August 04'!$AQ$47)</f>
        <v>264.3333333333333</v>
      </c>
      <c r="O105" s="248">
        <f>('September 04'!$AQ$47)</f>
        <v>260.7142857142857</v>
      </c>
      <c r="P105" s="248">
        <f>('October 04'!$AQ$47)</f>
        <v>320</v>
      </c>
      <c r="Q105" s="248">
        <f>('November 04'!$AQ$47)</f>
        <v>291.5</v>
      </c>
      <c r="R105" s="248">
        <f>('December 04'!$AQ$47)</f>
        <v>227.2</v>
      </c>
      <c r="S105" s="166"/>
      <c r="T105" s="166" t="s">
        <v>150</v>
      </c>
      <c r="U105" s="318">
        <f>(IF(((SUM(G105:R105))=0)," ",(AVERAGE(G105:R105))))</f>
        <v>249.36580364080362</v>
      </c>
      <c r="V105" s="168" t="s">
        <v>178</v>
      </c>
      <c r="W105" s="163"/>
      <c r="X105" s="163"/>
      <c r="Y105" s="163"/>
      <c r="Z105" s="163"/>
      <c r="AA105" s="163" t="s">
        <v>164</v>
      </c>
      <c r="AB105" s="163"/>
      <c r="AC105" s="163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5.75" customHeight="1">
      <c r="A106" s="163"/>
      <c r="B106" s="163"/>
      <c r="C106" s="163"/>
      <c r="D106" s="163" t="s">
        <v>165</v>
      </c>
      <c r="E106" s="168"/>
      <c r="F106" s="168"/>
      <c r="G106" s="248">
        <f>('January 04'!$AQ$46)</f>
        <v>140</v>
      </c>
      <c r="H106" s="248">
        <f>('February 04'!$AQ$46)</f>
        <v>142</v>
      </c>
      <c r="I106" s="248">
        <f>('March 04'!$AQ$46)</f>
        <v>190</v>
      </c>
      <c r="J106" s="313">
        <f>('April 04'!$AQ$46)</f>
        <v>136</v>
      </c>
      <c r="K106" s="248">
        <f>('May 04'!$AQ$46)</f>
        <v>196</v>
      </c>
      <c r="L106" s="248">
        <f>('June 04'!$AQ$46)</f>
        <v>178</v>
      </c>
      <c r="M106" s="248">
        <f>('July 04'!$AQ$46)</f>
        <v>174</v>
      </c>
      <c r="N106" s="248">
        <f>('August 04'!$AQ$46)</f>
        <v>180</v>
      </c>
      <c r="O106" s="248">
        <f>('September 04'!$AQ$46)</f>
        <v>192</v>
      </c>
      <c r="P106" s="248">
        <f>('October 04'!$AQ$46)</f>
        <v>254</v>
      </c>
      <c r="Q106" s="248">
        <f>('November 04'!$AQ$46)</f>
        <v>190</v>
      </c>
      <c r="R106" s="248">
        <f>('December 04'!$AQ$46)</f>
        <v>180</v>
      </c>
      <c r="S106" s="166"/>
      <c r="T106" s="166" t="s">
        <v>150</v>
      </c>
      <c r="U106" s="252" t="s">
        <v>150</v>
      </c>
      <c r="V106" s="168"/>
      <c r="W106" s="163"/>
      <c r="X106" s="163"/>
      <c r="Y106" s="163"/>
      <c r="Z106" s="163"/>
      <c r="AA106" s="163" t="s">
        <v>166</v>
      </c>
      <c r="AB106" s="163"/>
      <c r="AC106" s="163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5.75" customHeight="1">
      <c r="A107" s="163"/>
      <c r="B107" s="163"/>
      <c r="C107" s="163"/>
      <c r="D107" s="163"/>
      <c r="E107" s="168"/>
      <c r="F107" s="168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166"/>
      <c r="T107" s="166"/>
      <c r="U107" s="253"/>
      <c r="V107" s="168"/>
      <c r="W107" s="163"/>
      <c r="X107" s="163"/>
      <c r="Y107" s="163"/>
      <c r="Z107" s="163"/>
      <c r="AA107" s="163"/>
      <c r="AB107" s="163"/>
      <c r="AC107" s="163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5.75" customHeight="1">
      <c r="A108" s="163"/>
      <c r="B108" s="163"/>
      <c r="C108" s="163" t="s">
        <v>84</v>
      </c>
      <c r="D108" s="163" t="s">
        <v>162</v>
      </c>
      <c r="E108" s="168" t="s">
        <v>174</v>
      </c>
      <c r="F108" s="168"/>
      <c r="G108" s="248">
        <f>('January 04'!$AR$45)</f>
        <v>5805.707519999999</v>
      </c>
      <c r="H108" s="248">
        <f>('February 04'!$AR$45)</f>
        <v>5604.947039999999</v>
      </c>
      <c r="I108" s="248">
        <f>('March 04'!$AR$45)</f>
        <v>5216.67</v>
      </c>
      <c r="J108" s="313">
        <f>('April 04'!$AR$45)</f>
        <v>8343.21924</v>
      </c>
      <c r="K108" s="248">
        <f>('May 04'!$AR$45)</f>
        <v>5699.90628</v>
      </c>
      <c r="L108" s="248">
        <f>('June 04'!$AR$45)</f>
        <v>7738.23564</v>
      </c>
      <c r="M108" s="248">
        <f>('July 04'!$AR$45)</f>
        <v>6667.46304</v>
      </c>
      <c r="N108" s="248">
        <f>('August 04'!$AR$45)</f>
        <v>6530.720399999999</v>
      </c>
      <c r="O108" s="248">
        <f>('September 04'!$AR$45)</f>
        <v>6125.2963199999995</v>
      </c>
      <c r="P108" s="248">
        <f>('October 04'!$AR$45)</f>
        <v>7901.149200000001</v>
      </c>
      <c r="Q108" s="248">
        <f>('November 04'!$AR$45)</f>
        <v>7097.62356</v>
      </c>
      <c r="R108" s="248">
        <f>('December 04'!$AR$45)</f>
        <v>6155.8874399999995</v>
      </c>
      <c r="S108" s="166"/>
      <c r="T108" s="166" t="s">
        <v>150</v>
      </c>
      <c r="U108" s="252" t="s">
        <v>150</v>
      </c>
      <c r="V108" s="168"/>
      <c r="W108" s="163"/>
      <c r="X108" s="163"/>
      <c r="Y108" s="163"/>
      <c r="Z108" s="163"/>
      <c r="AA108" s="163" t="s">
        <v>163</v>
      </c>
      <c r="AB108" s="163"/>
      <c r="AC108" s="163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5.75" customHeight="1">
      <c r="A109" s="163"/>
      <c r="B109" s="163"/>
      <c r="C109" s="163"/>
      <c r="D109" s="163" t="s">
        <v>164</v>
      </c>
      <c r="E109" s="168"/>
      <c r="F109" s="168"/>
      <c r="G109" s="248">
        <f>('January 04'!$AR$47)</f>
        <v>4140.5559507692315</v>
      </c>
      <c r="H109" s="248">
        <f>('February 04'!$AR$47)</f>
        <v>4587.36279</v>
      </c>
      <c r="I109" s="248">
        <f>('March 04'!$AR$47)</f>
        <v>4250.559267692308</v>
      </c>
      <c r="J109" s="248">
        <f>('April 04'!$AR$47)</f>
        <v>5255.2627542857135</v>
      </c>
      <c r="K109" s="248">
        <f>('May 04'!$AR$47)</f>
        <v>5203.198625454545</v>
      </c>
      <c r="L109" s="248">
        <f>('June 04'!$AR$47)</f>
        <v>5193.475818461538</v>
      </c>
      <c r="M109" s="248">
        <f>('July 04'!$AR$47)</f>
        <v>5365.206591428571</v>
      </c>
      <c r="N109" s="248">
        <f>('August 04'!$AR$47)</f>
        <v>5150.43789</v>
      </c>
      <c r="O109" s="248">
        <f>('September 04'!$AR$47)</f>
        <v>5396.350534285714</v>
      </c>
      <c r="P109" s="248">
        <f>('October 04'!$AR$47)</f>
        <v>5932.647452307691</v>
      </c>
      <c r="Q109" s="248">
        <f>('November 04'!$AR$47)</f>
        <v>5258.08644</v>
      </c>
      <c r="R109" s="248">
        <f>('December 04'!$AR$47)</f>
        <v>4924.046087999999</v>
      </c>
      <c r="S109" s="166"/>
      <c r="T109" s="166" t="s">
        <v>150</v>
      </c>
      <c r="U109" s="318">
        <f>(IF(((SUM(G109:R109))=0)," ",(AVERAGE(G109:R109))))</f>
        <v>5054.765850223776</v>
      </c>
      <c r="V109" s="168" t="s">
        <v>174</v>
      </c>
      <c r="W109" s="163"/>
      <c r="X109" s="163"/>
      <c r="Y109" s="163"/>
      <c r="Z109" s="163"/>
      <c r="AA109" s="163" t="s">
        <v>164</v>
      </c>
      <c r="AB109" s="163"/>
      <c r="AC109" s="163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5.75" customHeight="1">
      <c r="A110" s="163"/>
      <c r="B110" s="163"/>
      <c r="C110" s="163"/>
      <c r="D110" s="163" t="s">
        <v>165</v>
      </c>
      <c r="E110" s="168"/>
      <c r="F110" s="168"/>
      <c r="G110" s="248">
        <f>('January 04'!$AR$46)</f>
        <v>3223.7436000000002</v>
      </c>
      <c r="H110" s="313">
        <f>('February 04'!$AR$46)</f>
        <v>2847.0091199999997</v>
      </c>
      <c r="I110" s="248">
        <f>('March 04'!$AR$46)</f>
        <v>3228.414</v>
      </c>
      <c r="J110" s="248">
        <f>('April 04'!$AR$46)</f>
        <v>3677.94</v>
      </c>
      <c r="K110" s="248">
        <f>('May 04'!$AR$46)</f>
        <v>4679.97432</v>
      </c>
      <c r="L110" s="248">
        <f>('June 04'!$AR$46)</f>
        <v>3519.7969200000002</v>
      </c>
      <c r="M110" s="248">
        <f>('July 04'!$AR$46)</f>
        <v>3275.26812</v>
      </c>
      <c r="N110" s="248">
        <f>('August 04'!$AR$46)</f>
        <v>4041.2304000000004</v>
      </c>
      <c r="O110" s="248">
        <f>('September 04'!$AR$46)</f>
        <v>4076.8588799999998</v>
      </c>
      <c r="P110" s="248">
        <f>('October 04'!$AR$46)</f>
        <v>4565.0658</v>
      </c>
      <c r="Q110" s="248">
        <f>('November 04'!$AR$46)</f>
        <v>3389.4593999999997</v>
      </c>
      <c r="R110" s="248">
        <f>('December 04'!$AR$46)</f>
        <v>3547.3356</v>
      </c>
      <c r="S110" s="166"/>
      <c r="T110" s="166" t="s">
        <v>150</v>
      </c>
      <c r="U110" s="252" t="s">
        <v>150</v>
      </c>
      <c r="V110" s="168"/>
      <c r="W110" s="163"/>
      <c r="X110" s="163"/>
      <c r="Y110" s="163"/>
      <c r="Z110" s="163"/>
      <c r="AA110" s="163" t="s">
        <v>166</v>
      </c>
      <c r="AB110" s="163"/>
      <c r="AC110" s="163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5.75" customHeight="1">
      <c r="A111" s="163"/>
      <c r="B111" s="163"/>
      <c r="C111" s="163"/>
      <c r="D111" s="163"/>
      <c r="E111" s="168"/>
      <c r="F111" s="168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166"/>
      <c r="T111" s="166"/>
      <c r="U111" s="253"/>
      <c r="V111" s="168"/>
      <c r="W111" s="163"/>
      <c r="X111" s="163"/>
      <c r="Y111" s="163"/>
      <c r="Z111" s="163"/>
      <c r="AA111" s="163"/>
      <c r="AB111" s="163"/>
      <c r="AC111" s="163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5.75" customHeight="1">
      <c r="A112" s="163"/>
      <c r="B112" s="163"/>
      <c r="C112" s="163" t="s">
        <v>85</v>
      </c>
      <c r="D112" s="163" t="s">
        <v>162</v>
      </c>
      <c r="E112" s="168" t="s">
        <v>178</v>
      </c>
      <c r="F112" s="168"/>
      <c r="G112" s="248">
        <f>('January 04'!$AS$45)</f>
        <v>89</v>
      </c>
      <c r="H112" s="248">
        <f>('February 04'!$AS$45)</f>
        <v>108</v>
      </c>
      <c r="I112" s="248">
        <f>('March 04'!$AS$45)</f>
        <v>106</v>
      </c>
      <c r="J112" s="248">
        <f>('April 04'!$AS$45)</f>
        <v>85</v>
      </c>
      <c r="K112" s="248">
        <f>('May 04'!$AS$45)</f>
        <v>88</v>
      </c>
      <c r="L112" s="248">
        <f>('June 04'!$AS$45)</f>
        <v>89</v>
      </c>
      <c r="M112" s="248">
        <f>('July 04'!$AS$45)</f>
        <v>96</v>
      </c>
      <c r="N112" s="248">
        <f>('August 04'!$AS$45)</f>
        <v>96</v>
      </c>
      <c r="O112" s="248">
        <f>('September 04'!$AS$45)</f>
        <v>97</v>
      </c>
      <c r="P112" s="248">
        <f>('October 04'!$AS$45)</f>
        <v>108</v>
      </c>
      <c r="Q112" s="248">
        <f>('November 04'!$AS$45)</f>
        <v>111</v>
      </c>
      <c r="R112" s="313">
        <f>('December 04'!$AS$45)</f>
        <v>120</v>
      </c>
      <c r="S112" s="166"/>
      <c r="T112" s="166" t="s">
        <v>150</v>
      </c>
      <c r="U112" s="252" t="s">
        <v>150</v>
      </c>
      <c r="V112" s="168"/>
      <c r="W112" s="163"/>
      <c r="X112" s="163"/>
      <c r="Y112" s="163"/>
      <c r="Z112" s="163"/>
      <c r="AA112" s="163" t="s">
        <v>163</v>
      </c>
      <c r="AB112" s="163"/>
      <c r="AC112" s="163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5.75" customHeight="1">
      <c r="A113" s="163"/>
      <c r="B113" s="163"/>
      <c r="C113" s="163"/>
      <c r="D113" s="163" t="s">
        <v>164</v>
      </c>
      <c r="E113" s="168"/>
      <c r="F113" s="168"/>
      <c r="G113" s="248">
        <f>('January 04'!$AS$47)</f>
        <v>86</v>
      </c>
      <c r="H113" s="248">
        <f>('February 04'!$AS$47)</f>
        <v>89.66666666666667</v>
      </c>
      <c r="I113" s="248">
        <f>('March 04'!$AS$47)</f>
        <v>90.5</v>
      </c>
      <c r="J113" s="248">
        <f>('April 04'!$AS$47)</f>
        <v>78.2</v>
      </c>
      <c r="K113" s="248">
        <f>('May 04'!$AS$47)</f>
        <v>85.25</v>
      </c>
      <c r="L113" s="248">
        <f>('June 04'!$AS$47)</f>
        <v>79.25</v>
      </c>
      <c r="M113" s="248">
        <f>('July 04'!$AS$47)</f>
        <v>83.2</v>
      </c>
      <c r="N113" s="248">
        <f>('August 04'!$AS$47)</f>
        <v>81.75</v>
      </c>
      <c r="O113" s="248">
        <f>('September 04'!$AS$47)</f>
        <v>85.5</v>
      </c>
      <c r="P113" s="248">
        <f>('October 04'!$AS$47)</f>
        <v>93.4</v>
      </c>
      <c r="Q113" s="248">
        <f>('November 04'!$AS$47)</f>
        <v>86</v>
      </c>
      <c r="R113" s="248">
        <f>('December 04'!$AS$47)</f>
        <v>89</v>
      </c>
      <c r="S113" s="166"/>
      <c r="T113" s="166" t="s">
        <v>150</v>
      </c>
      <c r="U113" s="311">
        <f>(IF(((SUM(G113:R113))=0)," ",(AVERAGE(G113:R113))))</f>
        <v>85.64305555555556</v>
      </c>
      <c r="V113" s="168" t="s">
        <v>178</v>
      </c>
      <c r="W113" s="163"/>
      <c r="X113" s="163"/>
      <c r="Y113" s="163"/>
      <c r="Z113" s="163"/>
      <c r="AA113" s="163" t="s">
        <v>164</v>
      </c>
      <c r="AB113" s="163"/>
      <c r="AC113" s="163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5.75" customHeight="1">
      <c r="A114" s="163"/>
      <c r="B114" s="163"/>
      <c r="C114" s="163"/>
      <c r="D114" s="163" t="s">
        <v>165</v>
      </c>
      <c r="E114" s="168"/>
      <c r="F114" s="168"/>
      <c r="G114" s="248">
        <f>('January 04'!$AS$46)</f>
        <v>83</v>
      </c>
      <c r="H114" s="248">
        <f>('February 04'!$AS$46)</f>
        <v>80</v>
      </c>
      <c r="I114" s="248">
        <f>('March 04'!$AS$46)</f>
        <v>81</v>
      </c>
      <c r="J114" s="248">
        <f>('April 04'!$AS$46)</f>
        <v>71</v>
      </c>
      <c r="K114" s="248">
        <f>('May 04'!$AS$46)</f>
        <v>80</v>
      </c>
      <c r="L114" s="248">
        <f>('June 04'!$AS$46)</f>
        <v>71</v>
      </c>
      <c r="M114" s="248">
        <f>('July 04'!$AS$46)</f>
        <v>72</v>
      </c>
      <c r="N114" s="248">
        <f>('August 04'!$AS$46)</f>
        <v>73</v>
      </c>
      <c r="O114" s="248">
        <f>('September 04'!$AS$46)</f>
        <v>80</v>
      </c>
      <c r="P114" s="248">
        <f>('October 04'!$AS$46)</f>
        <v>83</v>
      </c>
      <c r="Q114" s="313">
        <f>('November 04'!$AS$46)</f>
        <v>57</v>
      </c>
      <c r="R114" s="248">
        <f>('December 04'!$AS$46)</f>
        <v>76</v>
      </c>
      <c r="S114" s="166"/>
      <c r="T114" s="166" t="s">
        <v>150</v>
      </c>
      <c r="U114" s="252" t="s">
        <v>150</v>
      </c>
      <c r="V114" s="168"/>
      <c r="W114" s="163"/>
      <c r="X114" s="163"/>
      <c r="Y114" s="163"/>
      <c r="Z114" s="163"/>
      <c r="AA114" s="163" t="s">
        <v>166</v>
      </c>
      <c r="AB114" s="163"/>
      <c r="AC114" s="163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5.75" customHeight="1">
      <c r="A115" s="163"/>
      <c r="B115" s="163"/>
      <c r="C115" s="163"/>
      <c r="D115" s="163"/>
      <c r="E115" s="168"/>
      <c r="F115" s="168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166"/>
      <c r="T115" s="166"/>
      <c r="U115" s="253"/>
      <c r="V115" s="168"/>
      <c r="W115" s="163"/>
      <c r="X115" s="163"/>
      <c r="Y115" s="163"/>
      <c r="Z115" s="163"/>
      <c r="AA115" s="163"/>
      <c r="AB115" s="163"/>
      <c r="AC115" s="163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5.75" customHeight="1">
      <c r="A116" s="163"/>
      <c r="B116" s="163"/>
      <c r="C116" s="163" t="s">
        <v>85</v>
      </c>
      <c r="D116" s="163" t="s">
        <v>162</v>
      </c>
      <c r="E116" s="168" t="s">
        <v>174</v>
      </c>
      <c r="F116" s="168"/>
      <c r="G116" s="248">
        <f>('January 04'!$AT$45)</f>
        <v>1717.58964</v>
      </c>
      <c r="H116" s="248">
        <f>('February 04'!$AT$45)</f>
        <v>2058.1452000000004</v>
      </c>
      <c r="I116" s="248">
        <f>('March 04'!$AT$45)</f>
        <v>1931.6274</v>
      </c>
      <c r="J116" s="248">
        <f>('April 04'!$AT$45)</f>
        <v>2331.04668</v>
      </c>
      <c r="K116" s="248">
        <f>('May 04'!$AT$45)</f>
        <v>2053.45812</v>
      </c>
      <c r="L116" s="248">
        <f>('June 04'!$AT$45)</f>
        <v>1903.15464</v>
      </c>
      <c r="M116" s="248">
        <f>('July 04'!$AT$45)</f>
        <v>1973.5775999999998</v>
      </c>
      <c r="N116" s="248">
        <f>('August 04'!$AT$45)</f>
        <v>1775.0188799999999</v>
      </c>
      <c r="O116" s="248">
        <f>('September 04'!$AT$45)</f>
        <v>2346.042</v>
      </c>
      <c r="P116" s="248">
        <f>('October 04'!$AT$45)</f>
        <v>1896.9163199999998</v>
      </c>
      <c r="Q116" s="248">
        <f>('November 04'!$AT$45)</f>
        <v>2207.8898999999997</v>
      </c>
      <c r="R116" s="313">
        <f>('December 04'!$AT$45)</f>
        <v>2399.9184</v>
      </c>
      <c r="S116" s="166"/>
      <c r="T116" s="166" t="s">
        <v>150</v>
      </c>
      <c r="U116" s="252" t="s">
        <v>150</v>
      </c>
      <c r="V116" s="168"/>
      <c r="W116" s="163"/>
      <c r="X116" s="163"/>
      <c r="Y116" s="163"/>
      <c r="Z116" s="163"/>
      <c r="AA116" s="163" t="s">
        <v>163</v>
      </c>
      <c r="AB116" s="163"/>
      <c r="AC116" s="163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5.75" customHeight="1">
      <c r="A117" s="163"/>
      <c r="B117" s="163"/>
      <c r="C117" s="163"/>
      <c r="D117" s="163" t="s">
        <v>164</v>
      </c>
      <c r="E117" s="168"/>
      <c r="F117" s="168"/>
      <c r="G117" s="248">
        <f>('January 04'!$AT$47)</f>
        <v>1683.92106</v>
      </c>
      <c r="H117" s="248">
        <f>('February 04'!$AT$47)</f>
        <v>1638.3485200000002</v>
      </c>
      <c r="I117" s="248">
        <f>('March 04'!$AT$47)</f>
        <v>1629.7902900000001</v>
      </c>
      <c r="J117" s="248">
        <f>('April 04'!$AT$47)</f>
        <v>1911.7264919999998</v>
      </c>
      <c r="K117" s="248">
        <f>('May 04'!$AT$47)</f>
        <v>1991.5377899999999</v>
      </c>
      <c r="L117" s="248">
        <f>('June 04'!$AT$47)</f>
        <v>1672.05324</v>
      </c>
      <c r="M117" s="248">
        <f>('July 04'!$AT$47)</f>
        <v>1631.685972</v>
      </c>
      <c r="N117" s="248">
        <f>('August 04'!$AT$47)</f>
        <v>1660.8275999999998</v>
      </c>
      <c r="O117" s="248">
        <f>('September 04'!$AT$47)</f>
        <v>1839.0116999999998</v>
      </c>
      <c r="P117" s="248">
        <f>('October 04'!$AT$47)</f>
        <v>1717.3227600000002</v>
      </c>
      <c r="Q117" s="248">
        <f>('November 04'!$AT$47)</f>
        <v>1612.7808599999998</v>
      </c>
      <c r="R117" s="248">
        <f>('December 04'!$AT$47)</f>
        <v>1920.7987440000002</v>
      </c>
      <c r="S117" s="166"/>
      <c r="T117" s="166" t="s">
        <v>150</v>
      </c>
      <c r="U117" s="311">
        <f>(IF(((SUM(G117:R117))=0)," ",(AVERAGE(G117:R117))))</f>
        <v>1742.4837523333329</v>
      </c>
      <c r="V117" s="168" t="s">
        <v>174</v>
      </c>
      <c r="W117" s="163"/>
      <c r="X117" s="163"/>
      <c r="Y117" s="163"/>
      <c r="Z117" s="163"/>
      <c r="AA117" s="163" t="s">
        <v>164</v>
      </c>
      <c r="AB117" s="163"/>
      <c r="AC117" s="163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5.75" customHeight="1">
      <c r="A118" s="163"/>
      <c r="B118" s="163"/>
      <c r="C118" s="163"/>
      <c r="D118" s="163" t="s">
        <v>165</v>
      </c>
      <c r="E118" s="168"/>
      <c r="F118" s="168"/>
      <c r="G118" s="248">
        <f>('January 04'!$AT$46)</f>
        <v>1650.2524799999999</v>
      </c>
      <c r="H118" s="248">
        <f>('February 04'!$AT$46)</f>
        <v>1401.06996</v>
      </c>
      <c r="I118" s="248">
        <f>('March 04'!$AT$46)</f>
        <v>1438.22466</v>
      </c>
      <c r="J118" s="248">
        <f>('April 04'!$AT$46)</f>
        <v>1469.0993399999998</v>
      </c>
      <c r="K118" s="248">
        <f>('May 04'!$AT$46)</f>
        <v>1930.0428000000002</v>
      </c>
      <c r="L118" s="248">
        <f>('June 04'!$AT$46)</f>
        <v>1445.4137399999997</v>
      </c>
      <c r="M118" s="248">
        <f>('July 04'!$AT$46)</f>
        <v>1411.72848</v>
      </c>
      <c r="N118" s="248">
        <f>('August 04'!$AT$46)</f>
        <v>1592.4646199999997</v>
      </c>
      <c r="O118" s="248">
        <f>('September 04'!$AT$46)</f>
        <v>1588.6031999999998</v>
      </c>
      <c r="P118" s="248">
        <f>('October 04'!$AT$46)</f>
        <v>1513.2096</v>
      </c>
      <c r="Q118" s="313">
        <f>('November 04'!$AT$46)</f>
        <v>1016.8378199999999</v>
      </c>
      <c r="R118" s="248">
        <f>('December 04'!$AT$46)</f>
        <v>1544.03424</v>
      </c>
      <c r="S118" s="166"/>
      <c r="T118" s="166" t="s">
        <v>150</v>
      </c>
      <c r="U118" s="252" t="s">
        <v>150</v>
      </c>
      <c r="V118" s="168"/>
      <c r="W118" s="163"/>
      <c r="X118" s="163"/>
      <c r="Y118" s="163"/>
      <c r="Z118" s="163"/>
      <c r="AA118" s="163" t="s">
        <v>166</v>
      </c>
      <c r="AB118" s="163"/>
      <c r="AC118" s="163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5.75" customHeight="1">
      <c r="A119" s="163"/>
      <c r="B119" s="163"/>
      <c r="C119" s="163"/>
      <c r="D119" s="163"/>
      <c r="E119" s="168"/>
      <c r="F119" s="168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166"/>
      <c r="T119" s="166"/>
      <c r="U119" s="253"/>
      <c r="V119" s="168"/>
      <c r="W119" s="163"/>
      <c r="X119" s="174"/>
      <c r="Y119" s="174"/>
      <c r="Z119" s="174"/>
      <c r="AA119" s="163"/>
      <c r="AB119" s="163"/>
      <c r="AC119" s="163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5.75" customHeight="1">
      <c r="A120" s="163"/>
      <c r="B120" s="163"/>
      <c r="C120" s="163" t="s">
        <v>86</v>
      </c>
      <c r="D120" s="163" t="s">
        <v>162</v>
      </c>
      <c r="E120" s="168" t="s">
        <v>178</v>
      </c>
      <c r="F120" s="168"/>
      <c r="G120" s="248">
        <f>('January 04'!$AU$45)</f>
        <v>31</v>
      </c>
      <c r="H120" s="248">
        <f>('February 04'!$AU$45)</f>
        <v>31</v>
      </c>
      <c r="I120" s="313">
        <f>('March 04'!$AU$45)</f>
        <v>43</v>
      </c>
      <c r="J120" s="248">
        <f>('April 04'!$AU$45)</f>
        <v>40</v>
      </c>
      <c r="K120" s="248">
        <f>('May 04'!$AU$45)</f>
        <v>32</v>
      </c>
      <c r="L120" s="248">
        <f>('June 04'!$AU$45)</f>
        <v>28</v>
      </c>
      <c r="M120" s="248">
        <f>('July 04'!$AU$45)</f>
        <v>29</v>
      </c>
      <c r="N120" s="248">
        <f>('August 04'!$AU$45)</f>
        <v>30</v>
      </c>
      <c r="O120" s="248">
        <f>('September 04'!$AU$45)</f>
        <v>29</v>
      </c>
      <c r="P120" s="248">
        <f>('October 04'!$AU$45)</f>
        <v>40</v>
      </c>
      <c r="Q120" s="248">
        <f>('November 04'!$AU$45)</f>
        <v>32</v>
      </c>
      <c r="R120" s="248">
        <f>('December 04'!$AU$45)</f>
        <v>28</v>
      </c>
      <c r="S120" s="166"/>
      <c r="T120" s="166" t="s">
        <v>150</v>
      </c>
      <c r="U120" s="318">
        <f>(IF(((SUM(G120:R120))=0)," ",(MAX(G120:R120))))</f>
        <v>43</v>
      </c>
      <c r="V120" s="168"/>
      <c r="W120" s="163"/>
      <c r="X120" s="174">
        <v>50</v>
      </c>
      <c r="Y120" s="174"/>
      <c r="Z120" s="174"/>
      <c r="AA120" s="163" t="s">
        <v>163</v>
      </c>
      <c r="AB120" s="163"/>
      <c r="AC120" s="163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5.75" customHeight="1">
      <c r="A121" s="163"/>
      <c r="B121" s="163"/>
      <c r="C121" s="163"/>
      <c r="D121" s="163" t="s">
        <v>164</v>
      </c>
      <c r="E121" s="168"/>
      <c r="F121" s="168"/>
      <c r="G121" s="248">
        <f>('January 04'!$AU$47)</f>
        <v>19.076923076923077</v>
      </c>
      <c r="H121" s="248">
        <f>('February 04'!$AU$47)</f>
        <v>25.25</v>
      </c>
      <c r="I121" s="248">
        <f>('March 04'!$AU$47)</f>
        <v>26.615384615384617</v>
      </c>
      <c r="J121" s="248">
        <f>('April 04'!$AU$47)</f>
        <v>26.428571428571427</v>
      </c>
      <c r="K121" s="248">
        <f>('May 04'!$AU$47)</f>
        <v>26.833333333333332</v>
      </c>
      <c r="L121" s="248">
        <f>('June 04'!$AU$47)</f>
        <v>23.692307692307693</v>
      </c>
      <c r="M121" s="248">
        <f>('July 04'!$AU$47)</f>
        <v>22.5</v>
      </c>
      <c r="N121" s="248">
        <f>('August 04'!$AU$47)</f>
        <v>21.25</v>
      </c>
      <c r="O121" s="248">
        <f>('September 04'!$AU$47)</f>
        <v>24.214285714285715</v>
      </c>
      <c r="P121" s="248">
        <f>('October 04'!$AU$47)</f>
        <v>26</v>
      </c>
      <c r="Q121" s="248">
        <f>('November 04'!$AU$47)</f>
        <v>24.083333333333332</v>
      </c>
      <c r="R121" s="248">
        <f>('December 04'!$AU$47)</f>
        <v>21</v>
      </c>
      <c r="S121" s="166"/>
      <c r="T121" s="166" t="s">
        <v>150</v>
      </c>
      <c r="U121" s="318">
        <f>(IF(((SUM(G121:R121))=0)," ",(AVERAGE(G121:R121))))</f>
        <v>23.9120115995116</v>
      </c>
      <c r="V121" s="168" t="s">
        <v>178</v>
      </c>
      <c r="W121" s="163"/>
      <c r="X121" s="174">
        <v>30</v>
      </c>
      <c r="Y121" s="174"/>
      <c r="Z121" s="174"/>
      <c r="AA121" s="163" t="s">
        <v>164</v>
      </c>
      <c r="AB121" s="163"/>
      <c r="AC121" s="163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5.75" customHeight="1">
      <c r="A122" s="163"/>
      <c r="B122" s="163"/>
      <c r="C122" s="163"/>
      <c r="D122" s="163" t="s">
        <v>165</v>
      </c>
      <c r="E122" s="168"/>
      <c r="F122" s="168"/>
      <c r="G122" s="248">
        <f>('January 04'!$AU$46)</f>
        <v>14</v>
      </c>
      <c r="H122" s="248">
        <f>('February 04'!$AU$46)</f>
        <v>18</v>
      </c>
      <c r="I122" s="248">
        <f>('March 04'!$AU$46)</f>
        <v>20</v>
      </c>
      <c r="J122" s="248">
        <f>('April 04'!$AU$46)</f>
        <v>18</v>
      </c>
      <c r="K122" s="248">
        <f>('May 04'!$AU$46)</f>
        <v>22</v>
      </c>
      <c r="L122" s="248">
        <f>('June 04'!$AU$46)</f>
        <v>20</v>
      </c>
      <c r="M122" s="313">
        <f>('July 04'!$AU$46)</f>
        <v>12</v>
      </c>
      <c r="N122" s="248">
        <f>('August 04'!$AU$46)</f>
        <v>14</v>
      </c>
      <c r="O122" s="248">
        <f>('September 04'!$AU$46)</f>
        <v>15</v>
      </c>
      <c r="P122" s="248">
        <f>('October 04'!$AU$46)</f>
        <v>19</v>
      </c>
      <c r="Q122" s="248">
        <f>('November 04'!$AU$46)</f>
        <v>19</v>
      </c>
      <c r="R122" s="248">
        <f>('December 04'!$AU$46)</f>
        <v>15</v>
      </c>
      <c r="S122" s="166"/>
      <c r="T122" s="166" t="s">
        <v>150</v>
      </c>
      <c r="U122" s="252" t="s">
        <v>150</v>
      </c>
      <c r="V122" s="168"/>
      <c r="W122" s="163"/>
      <c r="X122" s="174"/>
      <c r="Y122" s="174"/>
      <c r="Z122" s="174"/>
      <c r="AA122" s="163" t="s">
        <v>166</v>
      </c>
      <c r="AB122" s="163"/>
      <c r="AC122" s="163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5.75" customHeight="1">
      <c r="A123" s="163"/>
      <c r="B123" s="163"/>
      <c r="C123" s="163"/>
      <c r="D123" s="163"/>
      <c r="E123" s="168"/>
      <c r="F123" s="168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166"/>
      <c r="T123" s="166"/>
      <c r="U123" s="253"/>
      <c r="V123" s="168"/>
      <c r="W123" s="163"/>
      <c r="X123" s="174"/>
      <c r="Y123" s="174"/>
      <c r="Z123" s="174"/>
      <c r="AA123" s="163"/>
      <c r="AB123" s="163"/>
      <c r="AC123" s="163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5.75" customHeight="1">
      <c r="A124" s="163"/>
      <c r="B124" s="163"/>
      <c r="C124" s="163" t="s">
        <v>86</v>
      </c>
      <c r="D124" s="163" t="s">
        <v>162</v>
      </c>
      <c r="E124" s="168" t="s">
        <v>174</v>
      </c>
      <c r="F124" s="168"/>
      <c r="G124" s="248">
        <f>('January 04'!$AV$45)</f>
        <v>720.0339</v>
      </c>
      <c r="H124" s="248">
        <f>('February 04'!$AV$45)</f>
        <v>564.13428</v>
      </c>
      <c r="I124" s="248">
        <f>('March 04'!$AV$45)</f>
        <v>783.5847</v>
      </c>
      <c r="J124" s="313">
        <f>('April 04'!$AV$45)</f>
        <v>993.86112</v>
      </c>
      <c r="K124" s="248">
        <f>('May 04'!$AV$45)</f>
        <v>762.1092</v>
      </c>
      <c r="L124" s="248">
        <f>('June 04'!$AV$45)</f>
        <v>649.41912</v>
      </c>
      <c r="M124" s="248">
        <f>('July 04'!$AV$45)</f>
        <v>582.39888</v>
      </c>
      <c r="N124" s="248">
        <f>('August 04'!$AV$45)</f>
        <v>556.9452</v>
      </c>
      <c r="O124" s="248">
        <f>('September 04'!$AV$45)</f>
        <v>701.3939999999999</v>
      </c>
      <c r="P124" s="248">
        <f>('October 04'!$AV$45)</f>
        <v>763.944</v>
      </c>
      <c r="Q124" s="248">
        <f>('November 04'!$AV$45)</f>
        <v>593.808</v>
      </c>
      <c r="R124" s="248">
        <f>('December 04'!$AV$45)</f>
        <v>579.38814</v>
      </c>
      <c r="S124" s="166"/>
      <c r="T124" s="166" t="s">
        <v>150</v>
      </c>
      <c r="U124" s="318">
        <f>(IF(((SUM(G124:R124))=0)," ",(MAX(G124:R124))))</f>
        <v>993.86112</v>
      </c>
      <c r="V124" s="168"/>
      <c r="W124" s="163"/>
      <c r="X124" s="323">
        <v>1605</v>
      </c>
      <c r="Y124" s="163"/>
      <c r="Z124" s="163"/>
      <c r="AA124" s="163" t="s">
        <v>163</v>
      </c>
      <c r="AB124" s="163"/>
      <c r="AC124" s="163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5.75" customHeight="1">
      <c r="A125" s="163"/>
      <c r="B125" s="163"/>
      <c r="C125" s="163"/>
      <c r="D125" s="163" t="s">
        <v>164</v>
      </c>
      <c r="E125" s="168"/>
      <c r="F125" s="168"/>
      <c r="G125" s="248">
        <f>('January 04'!$AV$47)</f>
        <v>408.7151723076923</v>
      </c>
      <c r="H125" s="248">
        <f>('February 04'!$AV$47)</f>
        <v>477.12584</v>
      </c>
      <c r="I125" s="248">
        <f>('March 04'!$AV$47)</f>
        <v>471.7123246153846</v>
      </c>
      <c r="J125" s="248">
        <f>('April 04'!$AV$47)</f>
        <v>679.5056699999999</v>
      </c>
      <c r="K125" s="248">
        <f>('May 04'!$AV$47)</f>
        <v>638.83288</v>
      </c>
      <c r="L125" s="248">
        <f>('June 04'!$AV$47)</f>
        <v>501.39053538461536</v>
      </c>
      <c r="M125" s="248">
        <f>('July 04'!$AV$47)</f>
        <v>434.8553442857143</v>
      </c>
      <c r="N125" s="248">
        <f>('August 04'!$AV$47)</f>
        <v>413.75018</v>
      </c>
      <c r="O125" s="248">
        <f>('September 04'!$AV$47)</f>
        <v>505.1615442857142</v>
      </c>
      <c r="P125" s="248">
        <f>('October 04'!$AV$47)</f>
        <v>483.92015999999995</v>
      </c>
      <c r="Q125" s="248">
        <f>('November 04'!$AV$47)</f>
        <v>435.40638000000007</v>
      </c>
      <c r="R125" s="248">
        <f>('December 04'!$AV$47)</f>
        <v>455.3778999999999</v>
      </c>
      <c r="S125" s="166"/>
      <c r="T125" s="166" t="s">
        <v>150</v>
      </c>
      <c r="U125" s="318">
        <f>(IF(((SUM(G125:R125))=0)," ",(AVERAGE(G125:R125))))</f>
        <v>492.14616090659337</v>
      </c>
      <c r="V125" s="168" t="s">
        <v>174</v>
      </c>
      <c r="W125" s="163"/>
      <c r="X125" s="163">
        <v>963</v>
      </c>
      <c r="Y125" s="163"/>
      <c r="Z125" s="163"/>
      <c r="AA125" s="163" t="s">
        <v>164</v>
      </c>
      <c r="AB125" s="163"/>
      <c r="AC125" s="163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5.75" customHeight="1">
      <c r="A126" s="163"/>
      <c r="B126" s="163"/>
      <c r="C126" s="163"/>
      <c r="D126" s="163" t="s">
        <v>165</v>
      </c>
      <c r="E126" s="168"/>
      <c r="F126" s="168"/>
      <c r="G126" s="248">
        <f>('January 04'!$AV$46)</f>
        <v>270.18264</v>
      </c>
      <c r="H126" s="248">
        <f>('February 04'!$AV$46)</f>
        <v>358.48655999999994</v>
      </c>
      <c r="I126" s="248">
        <f>('March 04'!$AV$46)</f>
        <v>348.5286</v>
      </c>
      <c r="J126" s="248">
        <f>('April 04'!$AV$46)</f>
        <v>432.34559999999993</v>
      </c>
      <c r="K126" s="248">
        <f>('May 04'!$AV$46)</f>
        <v>508.13118</v>
      </c>
      <c r="L126" s="248">
        <f>('June 04'!$AV$46)</f>
        <v>407.1587999999999</v>
      </c>
      <c r="M126" s="313">
        <f>('July 04'!$AV$46)</f>
        <v>235.28808</v>
      </c>
      <c r="N126" s="248">
        <f>('August 04'!$AV$46)</f>
        <v>314.31792</v>
      </c>
      <c r="O126" s="248">
        <f>('September 04'!$AV$46)</f>
        <v>292.8591</v>
      </c>
      <c r="P126" s="248">
        <f>('October 04'!$AV$46)</f>
        <v>333.71675999999997</v>
      </c>
      <c r="Q126" s="248">
        <f>('November 04'!$AV$46)</f>
        <v>336.41058000000004</v>
      </c>
      <c r="R126" s="248">
        <f>('December 04'!$AV$46)</f>
        <v>304.7436</v>
      </c>
      <c r="S126" s="166"/>
      <c r="T126" s="166" t="s">
        <v>150</v>
      </c>
      <c r="U126" s="252" t="s">
        <v>150</v>
      </c>
      <c r="V126" s="168"/>
      <c r="W126" s="163"/>
      <c r="X126" s="163"/>
      <c r="Y126" s="163"/>
      <c r="Z126" s="163"/>
      <c r="AA126" s="163" t="s">
        <v>166</v>
      </c>
      <c r="AB126" s="163"/>
      <c r="AC126" s="163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5.75" customHeight="1">
      <c r="A127" s="163"/>
      <c r="B127" s="163"/>
      <c r="C127" s="163"/>
      <c r="D127" s="163"/>
      <c r="E127" s="168"/>
      <c r="F127" s="168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66"/>
      <c r="T127" s="166"/>
      <c r="U127" s="166"/>
      <c r="V127" s="168"/>
      <c r="W127" s="163"/>
      <c r="X127" s="163"/>
      <c r="Y127" s="163"/>
      <c r="Z127" s="163"/>
      <c r="AA127" s="163"/>
      <c r="AB127" s="163"/>
      <c r="AC127" s="163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5.75" customHeight="1">
      <c r="A128" s="163"/>
      <c r="B128" s="163"/>
      <c r="C128" s="163" t="s">
        <v>86</v>
      </c>
      <c r="D128" s="163" t="s">
        <v>179</v>
      </c>
      <c r="E128" s="168" t="s">
        <v>129</v>
      </c>
      <c r="F128" s="168"/>
      <c r="G128" s="251">
        <f>('January 04'!$AU$49)</f>
        <v>90.27450980392157</v>
      </c>
      <c r="H128" s="251">
        <f>('February 04'!$AU$49)</f>
        <v>89.58046767537827</v>
      </c>
      <c r="I128" s="251">
        <f>('March 04'!$AU$49)</f>
        <v>88.91025641025642</v>
      </c>
      <c r="J128" s="315">
        <f>('April 04'!$AU$49)</f>
        <v>87.2060857538036</v>
      </c>
      <c r="K128" s="251">
        <f>('May 04'!$AU$49)</f>
        <v>87.71162919789064</v>
      </c>
      <c r="L128" s="251">
        <f>('June 04'!$AU$49)</f>
        <v>90.41095890410958</v>
      </c>
      <c r="M128" s="251">
        <f>('July 04'!$AU$49)</f>
        <v>91.91063174114021</v>
      </c>
      <c r="N128" s="315">
        <f>('August 04'!$AU$49)</f>
        <v>91.9609079445145</v>
      </c>
      <c r="O128" s="251">
        <f>('September 04'!$AU$49)</f>
        <v>90.71232876712328</v>
      </c>
      <c r="P128" s="251">
        <f>('October 04'!$AU$49)</f>
        <v>91.875</v>
      </c>
      <c r="Q128" s="251">
        <f>('November 04'!$AU$49)</f>
        <v>91.73813607775872</v>
      </c>
      <c r="R128" s="251">
        <f>('December 04'!$AU$49)</f>
        <v>90.75704225352112</v>
      </c>
      <c r="S128" s="166"/>
      <c r="T128" s="166" t="s">
        <v>150</v>
      </c>
      <c r="U128" s="319">
        <f>(IF(((SUM(G128:R128))=0)," ",(AVERAGE(G128:R128))))</f>
        <v>90.25399621078482</v>
      </c>
      <c r="V128" s="168" t="s">
        <v>129</v>
      </c>
      <c r="W128" s="163"/>
      <c r="X128" s="321">
        <v>85</v>
      </c>
      <c r="Y128" s="163"/>
      <c r="Z128" s="163"/>
      <c r="AA128" s="163" t="s">
        <v>164</v>
      </c>
      <c r="AB128" s="163"/>
      <c r="AC128" s="163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9.5" customHeight="1">
      <c r="A129" s="163" t="str">
        <f>(A1)</f>
        <v>BRUNSWICK SEWER DISTRICT</v>
      </c>
      <c r="B129" s="163"/>
      <c r="C129" s="163"/>
      <c r="D129" s="163"/>
      <c r="E129" s="163"/>
      <c r="F129" s="163"/>
      <c r="G129" s="174"/>
      <c r="H129" s="174"/>
      <c r="I129" s="173"/>
      <c r="J129" s="173"/>
      <c r="K129" s="173"/>
      <c r="L129" s="173" t="str">
        <f>(L1)</f>
        <v>State Discharge License Number W 002600-5L-C-R</v>
      </c>
      <c r="M129" s="174"/>
      <c r="N129" s="186"/>
      <c r="O129" s="186"/>
      <c r="P129" s="172"/>
      <c r="Q129" s="172"/>
      <c r="R129" s="172"/>
      <c r="S129" s="165"/>
      <c r="T129" s="166"/>
      <c r="U129" s="166"/>
      <c r="V129" s="166"/>
      <c r="W129" s="163"/>
      <c r="X129" s="166" t="str">
        <f>(X1)</f>
        <v>Gregory H. Thulen</v>
      </c>
      <c r="Y129" s="163"/>
      <c r="Z129" s="163"/>
      <c r="AA129" s="163"/>
      <c r="AB129" s="163"/>
      <c r="AC129" s="163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9.5" customHeight="1">
      <c r="A130" s="163"/>
      <c r="B130" s="163"/>
      <c r="C130" s="163"/>
      <c r="D130" s="163"/>
      <c r="E130" s="163"/>
      <c r="F130" s="163"/>
      <c r="G130" s="174"/>
      <c r="H130" s="174"/>
      <c r="I130" s="174"/>
      <c r="J130" s="174"/>
      <c r="K130" s="174"/>
      <c r="L130" s="174"/>
      <c r="M130" s="174"/>
      <c r="N130" s="186"/>
      <c r="O130" s="186"/>
      <c r="P130" s="186"/>
      <c r="Q130" s="187"/>
      <c r="R130" s="186"/>
      <c r="S130" s="165"/>
      <c r="T130" s="165"/>
      <c r="U130" s="167"/>
      <c r="V130" s="165"/>
      <c r="W130" s="163"/>
      <c r="X130" s="165"/>
      <c r="Y130" s="163"/>
      <c r="Z130" s="163"/>
      <c r="AA130" s="163"/>
      <c r="AB130" s="163"/>
      <c r="AC130" s="163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9.5" customHeight="1">
      <c r="A131" s="163" t="str">
        <f>(A3)</f>
        <v>Annual Report of Treatment Operations:  2004.</v>
      </c>
      <c r="B131" s="163"/>
      <c r="C131" s="163"/>
      <c r="D131" s="163"/>
      <c r="E131" s="163"/>
      <c r="F131" s="163"/>
      <c r="G131" s="174"/>
      <c r="H131" s="174"/>
      <c r="I131" s="173"/>
      <c r="J131" s="173"/>
      <c r="K131" s="173"/>
      <c r="L131" s="173" t="str">
        <f>(L3)</f>
        <v>N.P.D.E.S. Permit Number ME 0100102</v>
      </c>
      <c r="M131" s="174"/>
      <c r="N131" s="186"/>
      <c r="O131" s="186"/>
      <c r="P131" s="172"/>
      <c r="Q131" s="172"/>
      <c r="R131" s="172"/>
      <c r="S131" s="165"/>
      <c r="T131" s="166"/>
      <c r="U131" s="166"/>
      <c r="V131" s="166"/>
      <c r="W131" s="163"/>
      <c r="X131" s="166" t="str">
        <f>(X3)</f>
        <v>Treatment Operations Division Supervisor</v>
      </c>
      <c r="Y131" s="163"/>
      <c r="Z131" s="163"/>
      <c r="AA131" s="163"/>
      <c r="AB131" s="163"/>
      <c r="AC131" s="163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9.5" customHeight="1">
      <c r="A132" s="163"/>
      <c r="B132" s="163"/>
      <c r="C132" s="163"/>
      <c r="D132" s="163"/>
      <c r="E132" s="163"/>
      <c r="F132" s="163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63"/>
      <c r="T132" s="163"/>
      <c r="U132" s="163"/>
      <c r="V132" s="166"/>
      <c r="W132" s="163"/>
      <c r="X132" s="163"/>
      <c r="Y132" s="163"/>
      <c r="Z132" s="163"/>
      <c r="AA132" s="163"/>
      <c r="AB132" s="163"/>
      <c r="AC132" s="163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9.5" customHeight="1">
      <c r="A133" s="163" t="str">
        <f>(A5)</f>
        <v>file:</v>
      </c>
      <c r="B133" s="163"/>
      <c r="C133" s="163"/>
      <c r="D133" s="163"/>
      <c r="E133" s="163"/>
      <c r="F133" s="163"/>
      <c r="G133" s="174"/>
      <c r="H133" s="174"/>
      <c r="I133" s="174"/>
      <c r="J133" s="174"/>
      <c r="K133" s="174"/>
      <c r="L133" s="174"/>
      <c r="M133" s="187"/>
      <c r="N133" s="174"/>
      <c r="O133" s="174"/>
      <c r="P133" s="174"/>
      <c r="Q133" s="174"/>
      <c r="R133" s="174"/>
      <c r="S133" s="163"/>
      <c r="T133" s="163"/>
      <c r="U133" s="163"/>
      <c r="V133" s="168"/>
      <c r="W133" s="163"/>
      <c r="X133" s="168" t="s">
        <v>136</v>
      </c>
      <c r="Y133" s="163"/>
      <c r="Z133" s="163"/>
      <c r="AA133" s="163"/>
      <c r="AB133" s="163"/>
      <c r="AC133" s="163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9.5" customHeight="1">
      <c r="A134" s="163"/>
      <c r="B134" s="163"/>
      <c r="C134" s="163"/>
      <c r="D134" s="163"/>
      <c r="E134" s="163"/>
      <c r="F134" s="163"/>
      <c r="G134" s="174"/>
      <c r="H134" s="174"/>
      <c r="I134" s="174"/>
      <c r="J134" s="174"/>
      <c r="K134" s="174"/>
      <c r="L134" s="174"/>
      <c r="M134" s="187"/>
      <c r="N134" s="174"/>
      <c r="O134" s="174"/>
      <c r="P134" s="174"/>
      <c r="Q134" s="174"/>
      <c r="R134" s="174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9.5" customHeight="1">
      <c r="A135" s="163"/>
      <c r="B135" s="163"/>
      <c r="C135" s="163"/>
      <c r="D135" s="163"/>
      <c r="E135" s="163"/>
      <c r="F135" s="163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63"/>
      <c r="T135" s="350" t="str">
        <f>(T7)</f>
        <v>A       N       N       U       A       L</v>
      </c>
      <c r="U135" s="351"/>
      <c r="V135" s="352"/>
      <c r="W135" s="163"/>
      <c r="X135" s="320" t="str">
        <f>(X7)</f>
        <v>P E R M I T</v>
      </c>
      <c r="Y135" s="163"/>
      <c r="Z135" s="163"/>
      <c r="AA135" s="163"/>
      <c r="AB135" s="163"/>
      <c r="AC135" s="163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9.5" customHeight="1">
      <c r="A136" s="163"/>
      <c r="B136" s="169" t="str">
        <f>(B8)</f>
        <v>Parameter</v>
      </c>
      <c r="C136" s="169"/>
      <c r="D136" s="169" t="str">
        <f>(D8)</f>
        <v>Function</v>
      </c>
      <c r="E136" s="170" t="str">
        <f>(E8)</f>
        <v>Units</v>
      </c>
      <c r="F136" s="170"/>
      <c r="G136" s="171" t="str">
        <f aca="true" t="shared" si="1" ref="G136:R136">(G8)</f>
        <v>JANUARY</v>
      </c>
      <c r="H136" s="171" t="str">
        <f t="shared" si="1"/>
        <v>FEBRUARY</v>
      </c>
      <c r="I136" s="171" t="str">
        <f t="shared" si="1"/>
        <v>MARCH</v>
      </c>
      <c r="J136" s="171" t="str">
        <f t="shared" si="1"/>
        <v>APRIL</v>
      </c>
      <c r="K136" s="171" t="str">
        <f t="shared" si="1"/>
        <v>MAY</v>
      </c>
      <c r="L136" s="171" t="str">
        <f t="shared" si="1"/>
        <v>JUNE</v>
      </c>
      <c r="M136" s="171" t="str">
        <f t="shared" si="1"/>
        <v>JULY</v>
      </c>
      <c r="N136" s="171" t="str">
        <f t="shared" si="1"/>
        <v>AUGUST</v>
      </c>
      <c r="O136" s="171" t="str">
        <f t="shared" si="1"/>
        <v>SEPTEMBER</v>
      </c>
      <c r="P136" s="171" t="str">
        <f t="shared" si="1"/>
        <v>OCTOBER</v>
      </c>
      <c r="Q136" s="171" t="str">
        <f t="shared" si="1"/>
        <v>NOVEMBER</v>
      </c>
      <c r="R136" s="171" t="str">
        <f t="shared" si="1"/>
        <v>DECEMBER</v>
      </c>
      <c r="S136" s="170"/>
      <c r="T136" s="170" t="str">
        <f>(T8)</f>
        <v>Total</v>
      </c>
      <c r="U136" s="170" t="str">
        <f>(U8)</f>
        <v>Max/Avg/Min</v>
      </c>
      <c r="V136" s="170" t="str">
        <f>(V8)</f>
        <v>Units</v>
      </c>
      <c r="W136" s="163"/>
      <c r="X136" s="170" t="str">
        <f>(X8)</f>
        <v>Limits</v>
      </c>
      <c r="Y136" s="163"/>
      <c r="Z136" s="163"/>
      <c r="AA136" s="163"/>
      <c r="AB136" s="163"/>
      <c r="AC136" s="163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9.5" customHeight="1">
      <c r="A137" s="163"/>
      <c r="B137" s="163"/>
      <c r="C137" s="163"/>
      <c r="D137" s="163"/>
      <c r="E137" s="166"/>
      <c r="F137" s="166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66"/>
      <c r="T137" s="166"/>
      <c r="U137" s="166"/>
      <c r="V137" s="166"/>
      <c r="W137" s="163"/>
      <c r="X137" s="163"/>
      <c r="Y137" s="163"/>
      <c r="Z137" s="163"/>
      <c r="AA137" s="163"/>
      <c r="AB137" s="163"/>
      <c r="AC137" s="163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9.5" customHeight="1">
      <c r="A138" s="163"/>
      <c r="B138" s="163"/>
      <c r="C138" s="163"/>
      <c r="D138" s="163"/>
      <c r="E138" s="168"/>
      <c r="F138" s="168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66"/>
      <c r="T138" s="166"/>
      <c r="U138" s="166"/>
      <c r="V138" s="168"/>
      <c r="W138" s="163"/>
      <c r="X138" s="163"/>
      <c r="Y138" s="163"/>
      <c r="Z138" s="163"/>
      <c r="AA138" s="163"/>
      <c r="AB138" s="163"/>
      <c r="AC138" s="163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9.5" customHeight="1">
      <c r="A139" s="163"/>
      <c r="B139" s="163" t="s">
        <v>46</v>
      </c>
      <c r="C139" s="163"/>
      <c r="D139" s="163"/>
      <c r="E139" s="168"/>
      <c r="F139" s="168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66"/>
      <c r="T139" s="166"/>
      <c r="U139" s="166"/>
      <c r="V139" s="168"/>
      <c r="W139" s="163"/>
      <c r="X139" s="163"/>
      <c r="Y139" s="163"/>
      <c r="Z139" s="163"/>
      <c r="AA139" s="163"/>
      <c r="AB139" s="163"/>
      <c r="AC139" s="163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9.5" customHeight="1">
      <c r="A140" s="163"/>
      <c r="B140" s="163"/>
      <c r="C140" s="163"/>
      <c r="D140" s="163"/>
      <c r="E140" s="168"/>
      <c r="F140" s="168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66"/>
      <c r="T140" s="166"/>
      <c r="U140" s="166"/>
      <c r="V140" s="168"/>
      <c r="W140" s="163"/>
      <c r="X140" s="163"/>
      <c r="Y140" s="163"/>
      <c r="Z140" s="163"/>
      <c r="AA140" s="163"/>
      <c r="AB140" s="163"/>
      <c r="AC140" s="163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9.5" customHeight="1">
      <c r="A141" s="163"/>
      <c r="B141" s="163"/>
      <c r="C141" s="163" t="s">
        <v>102</v>
      </c>
      <c r="D141" s="163" t="s">
        <v>180</v>
      </c>
      <c r="E141" s="168" t="s">
        <v>73</v>
      </c>
      <c r="F141" s="168"/>
      <c r="G141" s="248">
        <f>('January 04'!$AX$44)</f>
        <v>457542</v>
      </c>
      <c r="H141" s="248">
        <f>('February 04'!$AX$44)</f>
        <v>386697</v>
      </c>
      <c r="I141" s="248">
        <f>('March 04'!$AX$44)</f>
        <v>460628</v>
      </c>
      <c r="J141" s="248">
        <f>('April 04'!$AX$44)</f>
        <v>490295</v>
      </c>
      <c r="K141" s="248">
        <f>('May 04'!$AX$44)</f>
        <v>404918</v>
      </c>
      <c r="L141" s="248">
        <f>('June 04'!$AX$44)</f>
        <v>466955</v>
      </c>
      <c r="M141" s="248">
        <f>('July 04'!$AX$44)</f>
        <v>449142</v>
      </c>
      <c r="N141" s="248">
        <f>('August 04'!$AX$44)</f>
        <v>481408</v>
      </c>
      <c r="O141" s="248">
        <f>('September 04'!$AX$44)</f>
        <v>439134</v>
      </c>
      <c r="P141" s="313">
        <f>('October 04'!$AX$44)</f>
        <v>369071</v>
      </c>
      <c r="Q141" s="248">
        <f>('November 04'!$AX$44)</f>
        <v>412644</v>
      </c>
      <c r="R141" s="313">
        <f>('December 04'!$AX$44)</f>
        <v>512501</v>
      </c>
      <c r="S141" s="166"/>
      <c r="T141" s="253">
        <f>(SUM(G141:R141))</f>
        <v>5330935</v>
      </c>
      <c r="U141" s="252" t="s">
        <v>150</v>
      </c>
      <c r="V141" s="168" t="s">
        <v>73</v>
      </c>
      <c r="W141" s="163"/>
      <c r="X141" s="163"/>
      <c r="Y141" s="163"/>
      <c r="Z141" s="163"/>
      <c r="AA141" s="163" t="s">
        <v>160</v>
      </c>
      <c r="AB141" s="163"/>
      <c r="AC141" s="163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9.5" customHeight="1">
      <c r="A142" s="163"/>
      <c r="B142" s="163"/>
      <c r="C142" s="163"/>
      <c r="D142" s="163" t="s">
        <v>181</v>
      </c>
      <c r="E142" s="168" t="s">
        <v>73</v>
      </c>
      <c r="F142" s="168"/>
      <c r="G142" s="248">
        <f>('January 04'!$AX$47)</f>
        <v>45754.2</v>
      </c>
      <c r="H142" s="248">
        <f>('February 04'!$AX$47)</f>
        <v>48337.125</v>
      </c>
      <c r="I142" s="248">
        <f>('March 04'!$AX$47)</f>
        <v>51180.88888888889</v>
      </c>
      <c r="J142" s="248">
        <f>('April 04'!$AX$47)</f>
        <v>54477.22222222222</v>
      </c>
      <c r="K142" s="248">
        <f>('May 04'!$AX$47)</f>
        <v>40491.8</v>
      </c>
      <c r="L142" s="248">
        <f>('June 04'!$AX$47)</f>
        <v>46695.5</v>
      </c>
      <c r="M142" s="248">
        <f>('July 04'!$AX$47)</f>
        <v>37428.5</v>
      </c>
      <c r="N142" s="248">
        <f>('August 04'!$AX$47)</f>
        <v>53489.77777777778</v>
      </c>
      <c r="O142" s="248">
        <f>('September 04'!$AX$47)</f>
        <v>43913.4</v>
      </c>
      <c r="P142" s="248">
        <f>('October 04'!$AX$47)</f>
        <v>46133.875</v>
      </c>
      <c r="Q142" s="248">
        <f>('November 04'!$AX$47)</f>
        <v>45849.333333333336</v>
      </c>
      <c r="R142" s="248">
        <f>('December 04'!$AX$47)</f>
        <v>56944.555555555555</v>
      </c>
      <c r="S142" s="166"/>
      <c r="T142" s="166" t="s">
        <v>150</v>
      </c>
      <c r="U142" s="311">
        <f>(IF(((SUM(G142:R142))=0)," ",(AVERAGE(G142:R142))))</f>
        <v>47558.014814814815</v>
      </c>
      <c r="V142" s="168" t="s">
        <v>182</v>
      </c>
      <c r="W142" s="163"/>
      <c r="X142" s="163"/>
      <c r="Y142" s="163"/>
      <c r="Z142" s="163"/>
      <c r="AA142" s="163" t="s">
        <v>164</v>
      </c>
      <c r="AB142" s="163"/>
      <c r="AC142" s="163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9.5" customHeight="1">
      <c r="A143" s="163"/>
      <c r="B143" s="163"/>
      <c r="C143" s="163"/>
      <c r="D143" s="163"/>
      <c r="E143" s="168"/>
      <c r="F143" s="168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66"/>
      <c r="T143" s="166"/>
      <c r="U143" s="166"/>
      <c r="V143" s="168"/>
      <c r="W143" s="163"/>
      <c r="X143" s="163"/>
      <c r="Y143" s="163"/>
      <c r="Z143" s="163"/>
      <c r="AA143" s="163"/>
      <c r="AB143" s="163"/>
      <c r="AC143" s="163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9.5" customHeight="1">
      <c r="A144" s="163"/>
      <c r="B144" s="163"/>
      <c r="C144" s="163" t="s">
        <v>183</v>
      </c>
      <c r="D144" s="163" t="s">
        <v>181</v>
      </c>
      <c r="E144" s="168" t="s">
        <v>129</v>
      </c>
      <c r="F144" s="168"/>
      <c r="G144" s="249">
        <f>('January 04'!$AY$47)</f>
        <v>2.5</v>
      </c>
      <c r="H144" s="249">
        <f>('February 04'!$AY$47)</f>
        <v>2.625</v>
      </c>
      <c r="I144" s="314">
        <f>('March 04'!$AY$47)</f>
        <v>2.4444444444444446</v>
      </c>
      <c r="J144" s="249">
        <f>('April 04'!$AY$47)</f>
        <v>2.5555555555555554</v>
      </c>
      <c r="K144" s="249">
        <f>('May 04'!$AY$47)</f>
        <v>3.1</v>
      </c>
      <c r="L144" s="249">
        <f>('June 04'!$AY$47)</f>
        <v>3.4</v>
      </c>
      <c r="M144" s="249">
        <f>('July 04'!$AY$47)</f>
        <v>3.0833333333333335</v>
      </c>
      <c r="N144" s="249">
        <f>('August 04'!$AY$47)</f>
        <v>3</v>
      </c>
      <c r="O144" s="314">
        <f>('September 04'!$AY$47)</f>
        <v>3.4</v>
      </c>
      <c r="P144" s="249">
        <f>('October 04'!$AY$47)</f>
        <v>3.25</v>
      </c>
      <c r="Q144" s="249">
        <f>('November 04'!$AY$47)</f>
        <v>3.4444444444444446</v>
      </c>
      <c r="R144" s="249">
        <f>('December 04'!$AY$47)</f>
        <v>3.2222222222222223</v>
      </c>
      <c r="S144" s="166"/>
      <c r="T144" s="166" t="s">
        <v>150</v>
      </c>
      <c r="U144" s="316">
        <f>(IF(((SUM(G144:R144))=0)," ",(AVERAGE(G144:R144))))</f>
        <v>3.002083333333333</v>
      </c>
      <c r="V144" s="168" t="s">
        <v>129</v>
      </c>
      <c r="W144" s="163"/>
      <c r="X144" s="163"/>
      <c r="Y144" s="163"/>
      <c r="Z144" s="163"/>
      <c r="AA144" s="163" t="s">
        <v>164</v>
      </c>
      <c r="AB144" s="163"/>
      <c r="AC144" s="163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9.5" customHeight="1">
      <c r="A145" s="163"/>
      <c r="B145" s="163"/>
      <c r="C145" s="163"/>
      <c r="D145" s="163"/>
      <c r="E145" s="168"/>
      <c r="F145" s="168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66"/>
      <c r="T145" s="166"/>
      <c r="U145" s="166"/>
      <c r="V145" s="168"/>
      <c r="W145" s="163"/>
      <c r="X145" s="163"/>
      <c r="Y145" s="163"/>
      <c r="Z145" s="163"/>
      <c r="AA145" s="163"/>
      <c r="AB145" s="163"/>
      <c r="AC145" s="163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9.5" customHeight="1">
      <c r="A146" s="163"/>
      <c r="B146" s="163"/>
      <c r="C146" s="163" t="s">
        <v>184</v>
      </c>
      <c r="D146" s="163" t="s">
        <v>160</v>
      </c>
      <c r="E146" s="168" t="s">
        <v>94</v>
      </c>
      <c r="F146" s="168"/>
      <c r="G146" s="249">
        <f>('January 04'!$AZ$44)</f>
        <v>42.25</v>
      </c>
      <c r="H146" s="249">
        <f>('February 04'!$AZ$44)</f>
        <v>26.5</v>
      </c>
      <c r="I146" s="249">
        <f>('March 04'!$AZ$44)</f>
        <v>31.75</v>
      </c>
      <c r="J146" s="249">
        <f>('April 04'!$AZ$44)</f>
        <v>34</v>
      </c>
      <c r="K146" s="249">
        <f>('May 04'!$AZ$44)</f>
        <v>37</v>
      </c>
      <c r="L146" s="249">
        <f>('June 04'!$AZ$44)</f>
        <v>31.5</v>
      </c>
      <c r="M146" s="249">
        <f>('July 04'!$AZ$44)</f>
        <v>33</v>
      </c>
      <c r="N146" s="249">
        <f>('August 04'!$AZ$44)</f>
        <v>30.75</v>
      </c>
      <c r="O146" s="249">
        <f>('September 04'!$AZ$44)</f>
        <v>29.75</v>
      </c>
      <c r="P146" s="249">
        <f>('October 04'!$AZ$44)</f>
        <v>25.75</v>
      </c>
      <c r="Q146" s="249">
        <f>('November 04'!$AZ$44)</f>
        <v>28.25</v>
      </c>
      <c r="R146" s="249">
        <f>('December 04'!$AZ$44)</f>
        <v>32</v>
      </c>
      <c r="S146" s="166"/>
      <c r="T146" s="253">
        <f>(SUM(G146:R146))</f>
        <v>382.5</v>
      </c>
      <c r="U146" s="316">
        <f>(T146/52)</f>
        <v>7.355769230769231</v>
      </c>
      <c r="V146" s="168" t="s">
        <v>185</v>
      </c>
      <c r="W146" s="163"/>
      <c r="X146" s="163"/>
      <c r="Y146" s="163"/>
      <c r="Z146" s="163"/>
      <c r="AA146" s="163" t="s">
        <v>161</v>
      </c>
      <c r="AB146" s="163"/>
      <c r="AC146" s="163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9.5" customHeight="1">
      <c r="A147" s="163"/>
      <c r="B147" s="163"/>
      <c r="C147" s="163"/>
      <c r="D147" s="163"/>
      <c r="E147" s="168"/>
      <c r="F147" s="168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66"/>
      <c r="T147" s="166"/>
      <c r="U147" s="166"/>
      <c r="V147" s="168"/>
      <c r="W147" s="163"/>
      <c r="X147" s="163"/>
      <c r="Y147" s="163"/>
      <c r="Z147" s="163"/>
      <c r="AA147" s="163"/>
      <c r="AB147" s="163"/>
      <c r="AC147" s="163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9.5" customHeight="1">
      <c r="A148" s="163"/>
      <c r="B148" s="163"/>
      <c r="C148" s="163" t="s">
        <v>107</v>
      </c>
      <c r="D148" s="163" t="s">
        <v>186</v>
      </c>
      <c r="E148" s="168" t="s">
        <v>174</v>
      </c>
      <c r="F148" s="168"/>
      <c r="G148" s="248">
        <f>('January 04'!$BA$44)</f>
        <v>306.9</v>
      </c>
      <c r="H148" s="248">
        <f>('February 04'!$BA$44)</f>
        <v>266.59999999999997</v>
      </c>
      <c r="I148" s="248">
        <f>('March 04'!$BA$44)</f>
        <v>294.50000000000006</v>
      </c>
      <c r="J148" s="248">
        <f>('April 04'!$BA$44)</f>
        <v>328.59999999999997</v>
      </c>
      <c r="K148" s="248">
        <f>('May 04'!$BA$44)</f>
        <v>279</v>
      </c>
      <c r="L148" s="248">
        <f>('June 04'!$BA$44)</f>
        <v>316.20000000000005</v>
      </c>
      <c r="M148" s="248">
        <f>('July 04'!$BA$44)</f>
        <v>319.1</v>
      </c>
      <c r="N148" s="248">
        <f>('August 04'!$BA$44)</f>
        <v>291.2</v>
      </c>
      <c r="O148" s="248">
        <f>('September 04'!$BA$44)</f>
        <v>300.7</v>
      </c>
      <c r="P148" s="248">
        <f>('October 04'!$BA$44)</f>
        <v>254.2</v>
      </c>
      <c r="Q148" s="248">
        <f>('November 04'!$BA$44)</f>
        <v>282.1</v>
      </c>
      <c r="R148" s="248">
        <f>('December 04'!$BA$44)</f>
        <v>313.1</v>
      </c>
      <c r="S148" s="166"/>
      <c r="T148" s="253">
        <f>(SUM(G148:R148))</f>
        <v>3552.1999999999994</v>
      </c>
      <c r="U148" s="311">
        <f>(T148/52)</f>
        <v>68.31153846153845</v>
      </c>
      <c r="V148" s="168" t="s">
        <v>187</v>
      </c>
      <c r="W148" s="163"/>
      <c r="X148" s="163"/>
      <c r="Y148" s="163"/>
      <c r="Z148" s="163"/>
      <c r="AA148" s="163" t="s">
        <v>161</v>
      </c>
      <c r="AB148" s="163"/>
      <c r="AC148" s="163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9.5" customHeight="1">
      <c r="A149" s="163"/>
      <c r="B149" s="163"/>
      <c r="C149" s="163"/>
      <c r="D149" s="163"/>
      <c r="E149" s="168"/>
      <c r="F149" s="168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66"/>
      <c r="T149" s="166"/>
      <c r="U149" s="166"/>
      <c r="V149" s="168"/>
      <c r="W149" s="163"/>
      <c r="X149" s="163"/>
      <c r="Y149" s="163"/>
      <c r="Z149" s="163"/>
      <c r="AA149" s="163"/>
      <c r="AB149" s="163"/>
      <c r="AC149" s="163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9.5" customHeight="1">
      <c r="A150" s="163"/>
      <c r="B150" s="163"/>
      <c r="C150" s="163" t="s">
        <v>188</v>
      </c>
      <c r="D150" s="163" t="s">
        <v>181</v>
      </c>
      <c r="E150" s="168" t="s">
        <v>129</v>
      </c>
      <c r="F150" s="168"/>
      <c r="G150" s="314">
        <f>('January 04'!$BB$47)</f>
        <v>25.7</v>
      </c>
      <c r="H150" s="249">
        <f>('February 04'!$BB$47)</f>
        <v>27.5</v>
      </c>
      <c r="I150" s="249">
        <f>('March 04'!$BB$47)</f>
        <v>26.333333333333332</v>
      </c>
      <c r="J150" s="249">
        <f>('April 04'!$BB$47)</f>
        <v>27.666666666666668</v>
      </c>
      <c r="K150" s="249">
        <f>('May 04'!$BB$47)</f>
        <v>27.1</v>
      </c>
      <c r="L150" s="249">
        <f>('June 04'!$BB$47)</f>
        <v>28.4</v>
      </c>
      <c r="M150" s="314">
        <f>('July 04'!$BB$47)</f>
        <v>32.75</v>
      </c>
      <c r="N150" s="249">
        <f>('August 04'!$BB$47)</f>
        <v>32.666666666666664</v>
      </c>
      <c r="O150" s="249">
        <f>('September 04'!$BB$47)</f>
        <v>30.3</v>
      </c>
      <c r="P150" s="249">
        <f>('October 04'!$BB$47)</f>
        <v>28.375</v>
      </c>
      <c r="Q150" s="249">
        <f>('November 04'!$BB$47)</f>
        <v>27.22222222222222</v>
      </c>
      <c r="R150" s="249">
        <f>('December 04'!$BB$47)</f>
        <v>31.77777777777778</v>
      </c>
      <c r="S150" s="166"/>
      <c r="T150" s="166" t="s">
        <v>150</v>
      </c>
      <c r="U150" s="316">
        <f>(IF(((SUM(G150:R150))=0)," ",(AVERAGE(G150:R150))))</f>
        <v>28.815972222222225</v>
      </c>
      <c r="V150" s="168" t="s">
        <v>129</v>
      </c>
      <c r="W150" s="163"/>
      <c r="X150" s="163"/>
      <c r="Y150" s="163"/>
      <c r="Z150" s="163"/>
      <c r="AA150" s="163" t="s">
        <v>164</v>
      </c>
      <c r="AB150" s="163"/>
      <c r="AC150" s="163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9.5" customHeight="1">
      <c r="A151" s="163"/>
      <c r="B151" s="163"/>
      <c r="C151" s="163"/>
      <c r="D151" s="163"/>
      <c r="E151" s="168"/>
      <c r="F151" s="168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66"/>
      <c r="T151" s="166"/>
      <c r="U151" s="166"/>
      <c r="V151" s="168"/>
      <c r="W151" s="163"/>
      <c r="X151" s="163"/>
      <c r="Y151" s="163"/>
      <c r="Z151" s="163"/>
      <c r="AA151" s="163"/>
      <c r="AB151" s="163"/>
      <c r="AC151" s="163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9.5" customHeight="1">
      <c r="A152" s="163"/>
      <c r="B152" s="163"/>
      <c r="C152" s="163" t="s">
        <v>189</v>
      </c>
      <c r="D152" s="163" t="s">
        <v>180</v>
      </c>
      <c r="E152" s="168" t="s">
        <v>171</v>
      </c>
      <c r="F152" s="168"/>
      <c r="G152" s="248">
        <f>('January 04'!$BC$44)</f>
        <v>156</v>
      </c>
      <c r="H152" s="248">
        <f>('February 04'!$BC$44)</f>
        <v>156</v>
      </c>
      <c r="I152" s="248">
        <f>('March 04'!$BC$44)</f>
        <v>180</v>
      </c>
      <c r="J152" s="248">
        <f>('April 04'!$BC$44)</f>
        <v>204</v>
      </c>
      <c r="K152" s="248">
        <f>('May 04'!$BC$44)</f>
        <v>180</v>
      </c>
      <c r="L152" s="248">
        <f>('June 04'!$BC$44)</f>
        <v>204</v>
      </c>
      <c r="M152" s="248">
        <f>('July 04'!$BC$44)</f>
        <v>213</v>
      </c>
      <c r="N152" s="248">
        <f>('August 04'!$BC$44)</f>
        <v>216</v>
      </c>
      <c r="O152" s="248">
        <f>('September 04'!$BC$44)</f>
        <v>210</v>
      </c>
      <c r="P152" s="248">
        <f>('October 04'!$BC$44)</f>
        <v>168</v>
      </c>
      <c r="Q152" s="248">
        <f>('November 04'!$BC$44)</f>
        <v>188</v>
      </c>
      <c r="R152" s="248">
        <f>('December 04'!$BC$44)</f>
        <v>204</v>
      </c>
      <c r="S152" s="166"/>
      <c r="T152" s="317">
        <f>(SUM(G152:R152))</f>
        <v>2279</v>
      </c>
      <c r="U152" s="318">
        <f>(T152/52)</f>
        <v>43.82692307692308</v>
      </c>
      <c r="V152" s="168" t="s">
        <v>190</v>
      </c>
      <c r="W152" s="163"/>
      <c r="X152" s="163"/>
      <c r="Y152" s="163"/>
      <c r="Z152" s="163"/>
      <c r="AA152" s="163" t="s">
        <v>161</v>
      </c>
      <c r="AB152" s="163"/>
      <c r="AC152" s="163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9.5" customHeight="1">
      <c r="A153" s="163"/>
      <c r="B153" s="163"/>
      <c r="C153" s="163"/>
      <c r="D153" s="163"/>
      <c r="E153" s="168"/>
      <c r="F153" s="168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66"/>
      <c r="T153" s="166"/>
      <c r="U153" s="166"/>
      <c r="V153" s="168"/>
      <c r="W153" s="163"/>
      <c r="X153" s="163"/>
      <c r="Y153" s="163"/>
      <c r="Z153" s="163"/>
      <c r="AA153" s="163"/>
      <c r="AB153" s="163"/>
      <c r="AC153" s="163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9.5" customHeight="1">
      <c r="A154" s="163"/>
      <c r="B154" s="163"/>
      <c r="C154" s="163" t="s">
        <v>110</v>
      </c>
      <c r="D154" s="163" t="s">
        <v>186</v>
      </c>
      <c r="E154" s="168" t="s">
        <v>174</v>
      </c>
      <c r="F154" s="168"/>
      <c r="G154" s="248" t="str">
        <f>('January 04'!$BD$44)</f>
        <v> </v>
      </c>
      <c r="H154" s="248" t="str">
        <f>('February 04'!$BD$44)</f>
        <v> </v>
      </c>
      <c r="I154" s="248" t="str">
        <f>('March 04'!$BD$44)</f>
        <v> </v>
      </c>
      <c r="J154" s="248" t="str">
        <f>('April 04'!$BD$44)</f>
        <v> </v>
      </c>
      <c r="K154" s="248" t="str">
        <f>('May 04'!$BD$44)</f>
        <v> </v>
      </c>
      <c r="L154" s="248">
        <f>('June 04'!$BD$44)</f>
        <v>3008</v>
      </c>
      <c r="M154" s="248">
        <f>('July 04'!$BD$44)</f>
        <v>13478</v>
      </c>
      <c r="N154" s="248">
        <f>('August 04'!$BD$44)</f>
        <v>15368.5</v>
      </c>
      <c r="O154" s="248">
        <f>('September 04'!$BD$44)</f>
        <v>8670.5</v>
      </c>
      <c r="P154" s="248" t="str">
        <f>('October 04'!$BD$44)</f>
        <v> </v>
      </c>
      <c r="Q154" s="248" t="str">
        <f>('November 04'!$BD$44)</f>
        <v> </v>
      </c>
      <c r="R154" s="248">
        <f>('December 04'!$BD$44)</f>
        <v>14220</v>
      </c>
      <c r="S154" s="166"/>
      <c r="T154" s="253">
        <f>(SUM(G154:R154))</f>
        <v>54745</v>
      </c>
      <c r="U154" s="311">
        <f>(T154/52)</f>
        <v>1052.7884615384614</v>
      </c>
      <c r="V154" s="168" t="s">
        <v>187</v>
      </c>
      <c r="W154" s="163"/>
      <c r="X154" s="163"/>
      <c r="Y154" s="163"/>
      <c r="Z154" s="163"/>
      <c r="AA154" s="163" t="s">
        <v>161</v>
      </c>
      <c r="AB154" s="163"/>
      <c r="AC154" s="163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9.5" customHeight="1">
      <c r="A155" s="163"/>
      <c r="B155" s="163"/>
      <c r="C155" s="163"/>
      <c r="D155" s="163"/>
      <c r="E155" s="168"/>
      <c r="F155" s="168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66"/>
      <c r="T155" s="166"/>
      <c r="U155" s="166"/>
      <c r="V155" s="168"/>
      <c r="W155" s="163"/>
      <c r="X155" s="163"/>
      <c r="Y155" s="163"/>
      <c r="Z155" s="163"/>
      <c r="AA155" s="163"/>
      <c r="AB155" s="163"/>
      <c r="AC155" s="163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9.5" customHeight="1">
      <c r="A156" s="163"/>
      <c r="B156" s="163"/>
      <c r="C156" s="163" t="s">
        <v>111</v>
      </c>
      <c r="D156" s="163" t="s">
        <v>181</v>
      </c>
      <c r="E156" s="168" t="s">
        <v>175</v>
      </c>
      <c r="F156" s="168"/>
      <c r="G156" s="249" t="str">
        <f>('January 04'!$BE$47)</f>
        <v> </v>
      </c>
      <c r="H156" s="249" t="str">
        <f>('February 04'!$BE$47)</f>
        <v> </v>
      </c>
      <c r="I156" s="249" t="str">
        <f>('March 04'!$BE$47)</f>
        <v> </v>
      </c>
      <c r="J156" s="249" t="str">
        <f>('April 04'!$BE$47)</f>
        <v> </v>
      </c>
      <c r="K156" s="249" t="str">
        <f>('May 04'!$BE$47)</f>
        <v> </v>
      </c>
      <c r="L156" s="314">
        <f>('June 04'!$BE$47)</f>
        <v>12.245000000000001</v>
      </c>
      <c r="M156" s="249">
        <f>('July 04'!$BE$47)</f>
        <v>12.269</v>
      </c>
      <c r="N156" s="314">
        <f>('August 04'!$BE$47)</f>
        <v>12.203750000000003</v>
      </c>
      <c r="O156" s="249">
        <f>('September 04'!$BE$47)</f>
        <v>12.368</v>
      </c>
      <c r="P156" s="249" t="str">
        <f>('October 04'!$BE$47)</f>
        <v> </v>
      </c>
      <c r="Q156" s="249" t="str">
        <f>('November 04'!$BE$47)</f>
        <v> </v>
      </c>
      <c r="R156" s="249">
        <f>('December 04'!$BE$47)</f>
        <v>12.346666666666668</v>
      </c>
      <c r="S156" s="166"/>
      <c r="T156" s="166" t="s">
        <v>150</v>
      </c>
      <c r="U156" s="316">
        <f>(IF(((SUM(G156:R156))=0)," ",(AVERAGE(G156:R156))))</f>
        <v>12.286483333333337</v>
      </c>
      <c r="V156" s="168" t="s">
        <v>175</v>
      </c>
      <c r="W156" s="163"/>
      <c r="X156" s="321">
        <v>12</v>
      </c>
      <c r="Y156" s="163"/>
      <c r="Z156" s="163"/>
      <c r="AA156" s="163" t="s">
        <v>164</v>
      </c>
      <c r="AB156" s="163"/>
      <c r="AC156" s="163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9.5" customHeight="1">
      <c r="A157" s="163"/>
      <c r="B157" s="163"/>
      <c r="C157" s="163"/>
      <c r="D157" s="163"/>
      <c r="E157" s="175"/>
      <c r="F157" s="175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63"/>
      <c r="T157" s="163"/>
      <c r="U157" s="163"/>
      <c r="V157" s="175"/>
      <c r="W157" s="163"/>
      <c r="X157" s="163"/>
      <c r="Y157" s="163"/>
      <c r="Z157" s="163"/>
      <c r="AA157" s="163"/>
      <c r="AB157" s="163"/>
      <c r="AC157" s="163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9.5" customHeight="1">
      <c r="A158" s="163"/>
      <c r="B158" s="163"/>
      <c r="C158" s="163"/>
      <c r="D158" s="163"/>
      <c r="E158" s="175"/>
      <c r="F158" s="175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63"/>
      <c r="T158" s="163"/>
      <c r="U158" s="163"/>
      <c r="V158" s="175"/>
      <c r="W158" s="163"/>
      <c r="X158" s="163"/>
      <c r="Y158" s="163"/>
      <c r="Z158" s="163"/>
      <c r="AA158" s="163"/>
      <c r="AB158" s="163"/>
      <c r="AC158" s="163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9.5" customHeight="1">
      <c r="A159" s="163"/>
      <c r="B159" s="163"/>
      <c r="C159" s="163"/>
      <c r="D159" s="163"/>
      <c r="E159" s="175"/>
      <c r="F159" s="175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9.5" customHeight="1">
      <c r="A160" s="163"/>
      <c r="B160" s="163"/>
      <c r="C160" s="163"/>
      <c r="D160" s="163"/>
      <c r="E160" s="175"/>
      <c r="F160" s="175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9.5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9.5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9.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9.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ht="19.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19.5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ht="19.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9.5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1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ht="15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5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ht="15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ht="15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5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5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ht="1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5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29" ht="1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76"/>
    </row>
    <row r="182" spans="1:29" ht="15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76"/>
    </row>
    <row r="183" spans="1:29" ht="15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76"/>
    </row>
    <row r="184" spans="1:29" ht="15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76"/>
    </row>
    <row r="185" spans="1:29" ht="1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76"/>
    </row>
    <row r="186" spans="1:29" ht="15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76"/>
    </row>
    <row r="187" spans="1:29" ht="1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76"/>
    </row>
    <row r="188" spans="1:29" ht="1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76"/>
    </row>
    <row r="189" spans="1:29" ht="1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76"/>
    </row>
    <row r="190" spans="1:29" ht="15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76"/>
    </row>
    <row r="191" spans="1:29" ht="15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76"/>
    </row>
    <row r="192" spans="1:29" ht="15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76"/>
    </row>
    <row r="193" spans="1:29" ht="15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76"/>
    </row>
    <row r="194" spans="1:29" ht="1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76"/>
    </row>
    <row r="195" spans="1:29" ht="1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76"/>
    </row>
    <row r="196" spans="1:29" ht="1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76"/>
    </row>
    <row r="197" spans="1:29" ht="15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76"/>
    </row>
    <row r="198" spans="1:29" ht="15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76"/>
    </row>
    <row r="199" spans="1:29" ht="15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76"/>
    </row>
    <row r="200" spans="1:29" ht="15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76"/>
    </row>
    <row r="201" spans="1:29" ht="15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76"/>
    </row>
    <row r="202" spans="1:29" ht="15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76"/>
    </row>
    <row r="203" spans="1:29" ht="15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76"/>
    </row>
    <row r="204" spans="1:29" ht="15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76"/>
    </row>
    <row r="205" spans="1:29" ht="1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76"/>
    </row>
    <row r="206" spans="1:29" ht="15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76"/>
    </row>
    <row r="207" spans="1:29" ht="15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76"/>
    </row>
    <row r="208" spans="1:29" ht="15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76"/>
    </row>
    <row r="209" spans="1:29" ht="15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76"/>
    </row>
    <row r="210" spans="1:29" ht="15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76"/>
    </row>
    <row r="211" spans="1:29" ht="15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76"/>
    </row>
    <row r="212" spans="1:29" ht="15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76"/>
    </row>
    <row r="213" spans="1:29" ht="15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76"/>
    </row>
    <row r="214" spans="1:29" ht="1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76"/>
    </row>
    <row r="215" spans="1:29" ht="15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76"/>
    </row>
    <row r="216" spans="1:29" ht="15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76"/>
    </row>
    <row r="217" spans="1:29" ht="15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76"/>
    </row>
    <row r="218" spans="1:29" ht="15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76"/>
    </row>
    <row r="219" spans="1:29" ht="15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76"/>
    </row>
    <row r="220" spans="1:29" ht="15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76"/>
    </row>
    <row r="221" spans="1:29" ht="1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76"/>
    </row>
    <row r="222" spans="1:29" ht="15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76"/>
    </row>
    <row r="223" spans="1:29" ht="15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76"/>
    </row>
    <row r="224" spans="1:29" ht="15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76"/>
    </row>
    <row r="225" spans="1:29" ht="15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76"/>
    </row>
    <row r="226" spans="1:29" ht="15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76"/>
    </row>
    <row r="227" spans="1:29" ht="15">
      <c r="A227" s="176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</row>
    <row r="228" spans="1:29" ht="15">
      <c r="A228" s="176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</row>
    <row r="229" spans="1:29" ht="15">
      <c r="A229" s="176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</row>
    <row r="230" spans="1:29" ht="15">
      <c r="A230" s="176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</row>
    <row r="231" spans="1:29" ht="15">
      <c r="A231" s="176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</row>
    <row r="232" spans="1:29" ht="15">
      <c r="A232" s="176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</row>
    <row r="233" spans="1:29" ht="15">
      <c r="A233" s="176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</row>
    <row r="234" spans="1:29" ht="15">
      <c r="A234" s="176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</row>
    <row r="235" spans="1:29" ht="15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  <c r="AB235" s="176"/>
      <c r="AC235" s="176"/>
    </row>
    <row r="236" spans="1:29" ht="15">
      <c r="A236" s="176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</row>
    <row r="237" spans="1:29" ht="15">
      <c r="A237" s="176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</row>
    <row r="238" spans="1:29" ht="15">
      <c r="A238" s="176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</row>
  </sheetData>
  <sheetProtection password="CCAE" sheet="1" objects="1" scenarios="1"/>
  <mergeCells count="3">
    <mergeCell ref="T135:V135"/>
    <mergeCell ref="T7:V7"/>
    <mergeCell ref="T67:V67"/>
  </mergeCells>
  <conditionalFormatting sqref="S23">
    <cfRule type="cellIs" priority="1" dxfId="0" operator="equal" stopIfTrue="1">
      <formula>"(max($F$23:$R$23))"</formula>
    </cfRule>
  </conditionalFormatting>
  <printOptions gridLines="1"/>
  <pageMargins left="0.5" right="0.25" top="0.5" bottom="0.25" header="0.25" footer="0.25"/>
  <pageSetup fitToWidth="3" horizontalDpi="600" verticalDpi="600" orientation="landscape" paperSize="3" scale="69" r:id="rId1"/>
  <rowBreaks count="2" manualBreakCount="2">
    <brk id="60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152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February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February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0">
        <v>2498820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4">
        <v>2501127</v>
      </c>
      <c r="D12" s="137">
        <f aca="true" t="shared" si="0" ref="D12:D42">(IF(C12=0," ",((C12-C11)/1000)))</f>
        <v>2.307</v>
      </c>
      <c r="E12" s="139">
        <v>4.8</v>
      </c>
      <c r="F12" s="140">
        <v>0.6</v>
      </c>
      <c r="G12" s="81" t="str">
        <f>(IF(C12=0," ","0.00"))</f>
        <v>0.00</v>
      </c>
      <c r="H12" s="84">
        <v>0</v>
      </c>
      <c r="I12" s="85">
        <v>0</v>
      </c>
      <c r="K12" s="86" t="s">
        <v>209</v>
      </c>
      <c r="L12" s="84">
        <v>24</v>
      </c>
      <c r="M12" s="87">
        <v>0</v>
      </c>
      <c r="O12" s="88"/>
      <c r="Q12" s="89"/>
      <c r="R12" s="90"/>
      <c r="S12" s="91"/>
      <c r="U12" s="92">
        <v>6.95</v>
      </c>
      <c r="V12" s="93">
        <v>7.16</v>
      </c>
      <c r="W12" s="94">
        <v>6.45</v>
      </c>
      <c r="Y12" s="89">
        <v>10.2</v>
      </c>
      <c r="Z12" s="95">
        <v>10.1</v>
      </c>
      <c r="AA12" s="91">
        <v>9.2</v>
      </c>
      <c r="AC12" s="92">
        <v>1.5</v>
      </c>
      <c r="AD12" s="90">
        <v>0.01</v>
      </c>
      <c r="AE12" s="96">
        <v>0</v>
      </c>
      <c r="AG12" s="45">
        <f aca="true" t="shared" si="1" ref="AG12:AG42">($A12)</f>
        <v>1</v>
      </c>
      <c r="AI12" s="97"/>
      <c r="AJ12" s="55">
        <f aca="true" t="shared" si="2" ref="AJ12:AJ42">IF(AI12=0,"",(D12*AI12*8.34))</f>
      </c>
      <c r="AK12" s="97"/>
      <c r="AL12" s="55">
        <f aca="true" t="shared" si="3" ref="AL12:AL42">IF(AK12=0,"",(D12*AK12*8.34))</f>
      </c>
      <c r="AM12" s="97"/>
      <c r="AN12" s="55">
        <f aca="true" t="shared" si="4" ref="AN12:AN42">IF(AM12=0,"",(D12*AM12*8.34))</f>
      </c>
      <c r="AO12" s="98"/>
      <c r="AQ12" s="99"/>
      <c r="AR12" s="55">
        <f aca="true" t="shared" si="5" ref="AR12:AR42">IF(AQ12=0,"",(D12*AQ12*8.34))</f>
      </c>
      <c r="AS12" s="97"/>
      <c r="AT12" s="55">
        <f aca="true" t="shared" si="6" ref="AT12:AT42">IF(AS12=0,"",(D12*AS12*8.34))</f>
      </c>
      <c r="AU12" s="97"/>
      <c r="AV12" s="55">
        <f aca="true" t="shared" si="7" ref="AV12:AV42">IF(AU12=0,"",(D12*AU12*8.34))</f>
      </c>
      <c r="AX12" s="99"/>
      <c r="AY12" s="100"/>
      <c r="AZ12" s="101"/>
      <c r="BA12" s="97"/>
      <c r="BB12" s="101"/>
      <c r="BC12" s="97"/>
      <c r="BD12" s="97"/>
      <c r="BE12" s="102"/>
      <c r="BG12" s="99"/>
      <c r="BH12" s="83"/>
      <c r="BI12" s="103"/>
      <c r="BK12" s="17"/>
      <c r="BL12" s="19"/>
      <c r="BM12" s="56" t="s">
        <v>117</v>
      </c>
      <c r="BN12" s="20"/>
      <c r="BO12" s="57" t="s">
        <v>130</v>
      </c>
      <c r="BP12" s="26"/>
      <c r="BQ12" s="149">
        <f>(IF(((SUM(AN12:AN42))=0)," ",(AVERAGE(AN12:AN42))))</f>
        <v>372.53111999999993</v>
      </c>
      <c r="BR12" s="149">
        <f>MAX(AN12:AN42)</f>
        <v>431.34479999999996</v>
      </c>
      <c r="BS12" s="104" t="s">
        <v>126</v>
      </c>
      <c r="BT12" s="104"/>
      <c r="BU12" s="149">
        <f>(IF(((SUM(AM12:AM42))=0)," ",(AVERAGE(AM12:AM42))))</f>
        <v>19.666666666666668</v>
      </c>
      <c r="BV12" s="143">
        <f>(CG23)</f>
        <v>20.666666666666668</v>
      </c>
      <c r="BW12" s="149">
        <f>MAX(AM12:AM42)</f>
        <v>24</v>
      </c>
      <c r="BX12" s="104" t="s">
        <v>128</v>
      </c>
      <c r="BY12" s="104"/>
      <c r="BZ12" s="104">
        <v>0</v>
      </c>
      <c r="CA12" s="144" t="s">
        <v>47</v>
      </c>
      <c r="CB12" s="104">
        <v>24</v>
      </c>
      <c r="CC12" s="136"/>
      <c r="CE12" s="24"/>
      <c r="CF12" s="20" t="s">
        <v>138</v>
      </c>
      <c r="CG12" s="105">
        <f>(IF(((SUM(AM15:AM17))=0)," ",(AVERAGE(AM15:AM17))))</f>
        <v>17</v>
      </c>
      <c r="CH12" s="105">
        <f>(IF(((SUM(AN15:AN17))=0)," ",(AVERAGE(AN15:AN17))))</f>
        <v>340.35817999999995</v>
      </c>
      <c r="CI12" s="105"/>
      <c r="CJ12" s="105">
        <f>(IF(((SUM(AU15:AU17))=0)," ",(AVERAGE(AU15:AU17))))</f>
        <v>20</v>
      </c>
      <c r="CK12" s="105">
        <f>(IF(((SUM(AV15:AV17))=0)," ",(AVERAGE(AV15:AV17))))</f>
        <v>400.2977599999999</v>
      </c>
      <c r="CL12" s="239"/>
      <c r="CM12" s="151">
        <f>(AVERAGE(AE12:AE18))</f>
        <v>0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4">
        <v>2504064</v>
      </c>
      <c r="D13" s="137">
        <f t="shared" si="0"/>
        <v>2.937</v>
      </c>
      <c r="E13" s="139">
        <v>3.8</v>
      </c>
      <c r="F13" s="140">
        <v>0.6</v>
      </c>
      <c r="G13" s="81" t="str">
        <f aca="true" t="shared" si="8" ref="G13:G42">(IF(C13=0," ","0.00"))</f>
        <v>0.00</v>
      </c>
      <c r="H13" s="84">
        <v>2000</v>
      </c>
      <c r="I13" s="85">
        <v>8500</v>
      </c>
      <c r="K13" s="86" t="s">
        <v>209</v>
      </c>
      <c r="L13" s="84">
        <v>26</v>
      </c>
      <c r="M13" s="87">
        <v>0</v>
      </c>
      <c r="O13" s="106"/>
      <c r="Q13" s="107"/>
      <c r="R13" s="152"/>
      <c r="S13" s="108"/>
      <c r="U13" s="92">
        <v>7.18</v>
      </c>
      <c r="V13" s="93">
        <v>7.13</v>
      </c>
      <c r="W13" s="94">
        <v>6.93</v>
      </c>
      <c r="Y13" s="89">
        <v>11</v>
      </c>
      <c r="Z13" s="95">
        <v>10</v>
      </c>
      <c r="AA13" s="91">
        <v>9.9</v>
      </c>
      <c r="AC13" s="92">
        <v>7</v>
      </c>
      <c r="AD13" s="90">
        <v>0.01</v>
      </c>
      <c r="AE13" s="96">
        <v>0</v>
      </c>
      <c r="AG13" s="45">
        <f t="shared" si="1"/>
        <v>2</v>
      </c>
      <c r="AI13" s="97"/>
      <c r="AJ13" s="55">
        <f t="shared" si="2"/>
      </c>
      <c r="AK13" s="97"/>
      <c r="AL13" s="55">
        <f t="shared" si="3"/>
      </c>
      <c r="AM13" s="97"/>
      <c r="AN13" s="55">
        <f t="shared" si="4"/>
      </c>
      <c r="AO13" s="109"/>
      <c r="AQ13" s="99"/>
      <c r="AR13" s="55">
        <f t="shared" si="5"/>
      </c>
      <c r="AS13" s="97"/>
      <c r="AT13" s="55">
        <f t="shared" si="6"/>
      </c>
      <c r="AU13" s="97"/>
      <c r="AV13" s="55">
        <f t="shared" si="7"/>
      </c>
      <c r="AX13" s="99">
        <v>41986</v>
      </c>
      <c r="AY13" s="100">
        <v>3</v>
      </c>
      <c r="AZ13" s="101">
        <v>3</v>
      </c>
      <c r="BA13" s="97">
        <v>31</v>
      </c>
      <c r="BB13" s="101">
        <v>29</v>
      </c>
      <c r="BC13" s="97">
        <v>12</v>
      </c>
      <c r="BD13" s="97"/>
      <c r="BE13" s="102"/>
      <c r="BG13" s="99">
        <v>12</v>
      </c>
      <c r="BH13" s="83" t="s">
        <v>210</v>
      </c>
      <c r="BI13" s="103" t="s">
        <v>211</v>
      </c>
      <c r="BK13" s="17"/>
      <c r="BL13" s="19"/>
      <c r="BM13" s="26" t="s">
        <v>86</v>
      </c>
      <c r="BN13" s="20"/>
      <c r="BO13" s="153" t="s">
        <v>131</v>
      </c>
      <c r="BP13" s="26"/>
      <c r="BQ13" s="236">
        <v>963</v>
      </c>
      <c r="BR13" s="236">
        <v>1605</v>
      </c>
      <c r="BS13" s="155" t="s">
        <v>126</v>
      </c>
      <c r="BT13" s="104"/>
      <c r="BU13" s="236">
        <v>30</v>
      </c>
      <c r="BV13" s="156">
        <v>45</v>
      </c>
      <c r="BW13" s="236">
        <v>50</v>
      </c>
      <c r="BX13" s="155" t="s">
        <v>128</v>
      </c>
      <c r="BY13" s="104"/>
      <c r="BZ13" s="237" t="s">
        <v>150</v>
      </c>
      <c r="CA13" s="157" t="s">
        <v>47</v>
      </c>
      <c r="CB13" s="155">
        <v>24</v>
      </c>
      <c r="CC13" s="136"/>
      <c r="CE13" s="24"/>
      <c r="CF13" s="20"/>
      <c r="CG13" s="105"/>
      <c r="CH13" s="105"/>
      <c r="CI13" s="105"/>
      <c r="CJ13" s="105"/>
      <c r="CK13" s="105"/>
      <c r="CL13" s="239"/>
      <c r="CM13" s="151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4">
        <v>2506353</v>
      </c>
      <c r="D14" s="137">
        <f t="shared" si="0"/>
        <v>2.289</v>
      </c>
      <c r="E14" s="139">
        <v>3.4</v>
      </c>
      <c r="F14" s="140">
        <v>0.6</v>
      </c>
      <c r="G14" s="81" t="str">
        <f t="shared" si="8"/>
        <v>0.00</v>
      </c>
      <c r="H14" s="84">
        <v>5900</v>
      </c>
      <c r="I14" s="85">
        <v>8500</v>
      </c>
      <c r="K14" s="86" t="s">
        <v>209</v>
      </c>
      <c r="L14" s="84">
        <v>26</v>
      </c>
      <c r="M14" s="87">
        <v>0</v>
      </c>
      <c r="O14" s="106"/>
      <c r="Q14" s="107" t="s">
        <v>10</v>
      </c>
      <c r="R14" s="152" t="s">
        <v>10</v>
      </c>
      <c r="S14" s="108" t="s">
        <v>10</v>
      </c>
      <c r="U14" s="92">
        <v>7.1</v>
      </c>
      <c r="V14" s="93">
        <v>7.13</v>
      </c>
      <c r="W14" s="94">
        <v>6.64</v>
      </c>
      <c r="Y14" s="89">
        <v>10.8</v>
      </c>
      <c r="Z14" s="95">
        <v>9.6</v>
      </c>
      <c r="AA14" s="91">
        <v>9.4</v>
      </c>
      <c r="AC14" s="92">
        <v>7</v>
      </c>
      <c r="AD14" s="90">
        <v>0.01</v>
      </c>
      <c r="AE14" s="96">
        <v>0</v>
      </c>
      <c r="AG14" s="45">
        <f t="shared" si="1"/>
        <v>3</v>
      </c>
      <c r="AI14" s="97"/>
      <c r="AJ14" s="55">
        <f t="shared" si="2"/>
      </c>
      <c r="AK14" s="97"/>
      <c r="AL14" s="55">
        <f t="shared" si="3"/>
      </c>
      <c r="AM14" s="97"/>
      <c r="AN14" s="55">
        <f t="shared" si="4"/>
      </c>
      <c r="AO14" s="109"/>
      <c r="AQ14" s="99"/>
      <c r="AR14" s="55">
        <f t="shared" si="5"/>
      </c>
      <c r="AS14" s="97"/>
      <c r="AT14" s="55">
        <f t="shared" si="6"/>
      </c>
      <c r="AU14" s="97"/>
      <c r="AV14" s="55">
        <f t="shared" si="7"/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(IF(((SUM(AM22:AM24))=0)," ",(AVERAGE(AM22:AM24))))</f>
        <v>20.333333333333332</v>
      </c>
      <c r="CH14" s="105">
        <f>(IF(((SUM(AN22:AN24))=0)," ",(AVERAGE(AN22:AN24))))</f>
        <v>374.28529999999995</v>
      </c>
      <c r="CI14" s="105"/>
      <c r="CJ14" s="105">
        <f>(IF(((SUM(AU22:AU24))=0)," ",(AVERAGE(AU22:AU24))))</f>
        <v>27</v>
      </c>
      <c r="CK14" s="105">
        <f>(IF(((SUM(AV22:AV24))=0)," ",(AVERAGE(AV22:AV24))))</f>
        <v>496.30783999999994</v>
      </c>
      <c r="CL14" s="239"/>
      <c r="CM14" s="151">
        <f>(AVERAGE(AE19:AE25))</f>
        <v>0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4">
        <v>2508867</v>
      </c>
      <c r="D15" s="137">
        <f t="shared" si="0"/>
        <v>2.514</v>
      </c>
      <c r="E15" s="139">
        <v>4</v>
      </c>
      <c r="F15" s="140">
        <v>0.6</v>
      </c>
      <c r="G15" s="81" t="str">
        <f t="shared" si="8"/>
        <v>0.00</v>
      </c>
      <c r="H15" s="84">
        <v>3500</v>
      </c>
      <c r="I15" s="85">
        <v>4250</v>
      </c>
      <c r="K15" s="86" t="s">
        <v>209</v>
      </c>
      <c r="L15" s="84">
        <v>36</v>
      </c>
      <c r="M15" s="87">
        <v>0.57</v>
      </c>
      <c r="O15" s="106"/>
      <c r="Q15" s="107"/>
      <c r="R15" s="152"/>
      <c r="S15" s="108"/>
      <c r="U15" s="92">
        <v>7.22</v>
      </c>
      <c r="V15" s="93">
        <v>7.15</v>
      </c>
      <c r="W15" s="94">
        <v>6.08</v>
      </c>
      <c r="Y15" s="89">
        <v>10.3</v>
      </c>
      <c r="Z15" s="95">
        <v>9.7</v>
      </c>
      <c r="AA15" s="91">
        <v>10.9</v>
      </c>
      <c r="AC15" s="92">
        <v>7.5</v>
      </c>
      <c r="AD15" s="90">
        <v>0.1</v>
      </c>
      <c r="AE15" s="96">
        <v>0</v>
      </c>
      <c r="AG15" s="45">
        <f t="shared" si="1"/>
        <v>4</v>
      </c>
      <c r="AI15" s="97">
        <v>288</v>
      </c>
      <c r="AJ15" s="55">
        <f t="shared" si="2"/>
        <v>6038.426879999999</v>
      </c>
      <c r="AK15" s="97"/>
      <c r="AL15" s="55">
        <f t="shared" si="3"/>
      </c>
      <c r="AM15" s="97">
        <v>19</v>
      </c>
      <c r="AN15" s="55">
        <f t="shared" si="4"/>
        <v>398.36843999999996</v>
      </c>
      <c r="AO15" s="109">
        <v>15</v>
      </c>
      <c r="AQ15" s="99">
        <v>246</v>
      </c>
      <c r="AR15" s="55">
        <f t="shared" si="5"/>
        <v>5157.8229599999995</v>
      </c>
      <c r="AS15" s="97"/>
      <c r="AT15" s="55">
        <f t="shared" si="6"/>
      </c>
      <c r="AU15" s="97">
        <v>22</v>
      </c>
      <c r="AV15" s="55">
        <f t="shared" si="7"/>
        <v>461.2687199999999</v>
      </c>
      <c r="AX15" s="99">
        <v>50668</v>
      </c>
      <c r="AY15" s="100">
        <v>2</v>
      </c>
      <c r="AZ15" s="101">
        <v>3.5</v>
      </c>
      <c r="BA15" s="97">
        <v>34.1</v>
      </c>
      <c r="BB15" s="101">
        <v>28</v>
      </c>
      <c r="BC15" s="97">
        <v>24</v>
      </c>
      <c r="BD15" s="97"/>
      <c r="BE15" s="102"/>
      <c r="BG15" s="99">
        <v>24</v>
      </c>
      <c r="BH15" s="83" t="s">
        <v>210</v>
      </c>
      <c r="BI15" s="103" t="s">
        <v>211</v>
      </c>
      <c r="CE15" s="24"/>
      <c r="CF15" s="20"/>
      <c r="CG15" s="105"/>
      <c r="CH15" s="105"/>
      <c r="CI15" s="105"/>
      <c r="CJ15" s="105"/>
      <c r="CK15" s="105"/>
      <c r="CL15" s="239"/>
      <c r="CM15" s="151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2">
        <v>2511255</v>
      </c>
      <c r="D16" s="138">
        <f t="shared" si="0"/>
        <v>2.388</v>
      </c>
      <c r="E16" s="141">
        <v>3.8</v>
      </c>
      <c r="F16" s="142">
        <v>0.6</v>
      </c>
      <c r="G16" s="183" t="str">
        <f t="shared" si="8"/>
        <v>0.00</v>
      </c>
      <c r="H16" s="112">
        <v>150</v>
      </c>
      <c r="I16" s="113">
        <v>8500</v>
      </c>
      <c r="K16" s="114" t="s">
        <v>209</v>
      </c>
      <c r="L16" s="112">
        <v>27</v>
      </c>
      <c r="M16" s="115">
        <v>0</v>
      </c>
      <c r="O16" s="116"/>
      <c r="Q16" s="107" t="s">
        <v>4</v>
      </c>
      <c r="R16" s="152" t="s">
        <v>4</v>
      </c>
      <c r="S16" s="108" t="s">
        <v>4</v>
      </c>
      <c r="U16" s="117">
        <v>7.34</v>
      </c>
      <c r="V16" s="118">
        <v>7.14</v>
      </c>
      <c r="W16" s="119">
        <v>6.45</v>
      </c>
      <c r="Y16" s="120">
        <v>10.9</v>
      </c>
      <c r="Z16" s="121">
        <v>9.7</v>
      </c>
      <c r="AA16" s="122">
        <v>9.7</v>
      </c>
      <c r="AC16" s="117">
        <v>7.5</v>
      </c>
      <c r="AD16" s="123">
        <v>0.1</v>
      </c>
      <c r="AE16" s="124">
        <v>0</v>
      </c>
      <c r="AG16" s="45">
        <f t="shared" si="1"/>
        <v>5</v>
      </c>
      <c r="AI16" s="125">
        <v>265</v>
      </c>
      <c r="AJ16" s="65">
        <f t="shared" si="2"/>
        <v>5277.7188</v>
      </c>
      <c r="AK16" s="125"/>
      <c r="AL16" s="65">
        <f t="shared" si="3"/>
      </c>
      <c r="AM16" s="125">
        <v>15</v>
      </c>
      <c r="AN16" s="65">
        <f t="shared" si="4"/>
        <v>298.73879999999997</v>
      </c>
      <c r="AO16" s="126">
        <v>11</v>
      </c>
      <c r="AQ16" s="127">
        <v>276</v>
      </c>
      <c r="AR16" s="65">
        <f t="shared" si="5"/>
        <v>5496.79392</v>
      </c>
      <c r="AS16" s="125"/>
      <c r="AT16" s="65">
        <f t="shared" si="6"/>
      </c>
      <c r="AU16" s="125">
        <v>18</v>
      </c>
      <c r="AV16" s="65">
        <f t="shared" si="7"/>
        <v>358.48655999999994</v>
      </c>
      <c r="AX16" s="127"/>
      <c r="AY16" s="128"/>
      <c r="AZ16" s="129"/>
      <c r="BA16" s="125"/>
      <c r="BB16" s="129"/>
      <c r="BC16" s="125"/>
      <c r="BD16" s="125"/>
      <c r="BE16" s="130"/>
      <c r="BG16" s="127"/>
      <c r="BH16" s="110"/>
      <c r="BI16" s="131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(IF(((SUM(AM29:AM31))=0)," ",(AVERAGE(AM29:AM31))))</f>
        <v>20.666666666666668</v>
      </c>
      <c r="CH16" s="105">
        <f>(IF(((SUM(AN29:AN31))=0)," ",(AVERAGE(AN29:AN31))))</f>
        <v>394.69884</v>
      </c>
      <c r="CI16" s="105"/>
      <c r="CJ16" s="105">
        <f>(IF(((SUM(AU29:AU31))=0)," ",(AVERAGE(AU29:AU31))))</f>
        <v>26</v>
      </c>
      <c r="CK16" s="105">
        <f>(IF(((SUM(AV29:AV31))=0)," ",(AVERAGE(AV29:AV31))))</f>
        <v>496.42738</v>
      </c>
      <c r="CL16" s="239"/>
      <c r="CM16" s="151">
        <f>(AVERAGE(AE26:AE32))</f>
        <v>0.004285714285714286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4">
        <v>2513540</v>
      </c>
      <c r="D17" s="137">
        <f t="shared" si="0"/>
        <v>2.285</v>
      </c>
      <c r="E17" s="139">
        <v>3.7</v>
      </c>
      <c r="F17" s="140">
        <v>0.6</v>
      </c>
      <c r="G17" s="81" t="str">
        <f t="shared" si="8"/>
        <v>0.00</v>
      </c>
      <c r="H17" s="84">
        <v>3750</v>
      </c>
      <c r="I17" s="85">
        <v>8500</v>
      </c>
      <c r="K17" s="86" t="s">
        <v>208</v>
      </c>
      <c r="L17" s="84">
        <v>24</v>
      </c>
      <c r="M17" s="87">
        <v>0</v>
      </c>
      <c r="O17" s="106"/>
      <c r="Q17" s="107"/>
      <c r="R17" s="152"/>
      <c r="S17" s="108"/>
      <c r="U17" s="92">
        <v>7.16</v>
      </c>
      <c r="V17" s="93">
        <v>7.17</v>
      </c>
      <c r="W17" s="94">
        <v>6.3</v>
      </c>
      <c r="Y17" s="89">
        <v>11.1</v>
      </c>
      <c r="Z17" s="95">
        <v>11.1</v>
      </c>
      <c r="AA17" s="91">
        <v>11.1</v>
      </c>
      <c r="AC17" s="92">
        <v>5</v>
      </c>
      <c r="AD17" s="90">
        <v>0.01</v>
      </c>
      <c r="AE17" s="96">
        <v>0</v>
      </c>
      <c r="AG17" s="45">
        <f t="shared" si="1"/>
        <v>6</v>
      </c>
      <c r="AI17" s="97">
        <v>285</v>
      </c>
      <c r="AJ17" s="55">
        <f t="shared" si="2"/>
        <v>5431.2165</v>
      </c>
      <c r="AK17" s="97">
        <v>189</v>
      </c>
      <c r="AL17" s="55">
        <f t="shared" si="3"/>
        <v>3601.7541</v>
      </c>
      <c r="AM17" s="97">
        <v>17</v>
      </c>
      <c r="AN17" s="55">
        <f t="shared" si="4"/>
        <v>323.96729999999997</v>
      </c>
      <c r="AO17" s="109">
        <v>12</v>
      </c>
      <c r="AQ17" s="99">
        <v>270</v>
      </c>
      <c r="AR17" s="55">
        <f t="shared" si="5"/>
        <v>5145.363</v>
      </c>
      <c r="AS17" s="97">
        <v>108</v>
      </c>
      <c r="AT17" s="55">
        <f t="shared" si="6"/>
        <v>2058.1452000000004</v>
      </c>
      <c r="AU17" s="97">
        <v>20</v>
      </c>
      <c r="AV17" s="55">
        <f t="shared" si="7"/>
        <v>381.13800000000003</v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38" t="s">
        <v>150</v>
      </c>
      <c r="BR17" s="238" t="s">
        <v>150</v>
      </c>
      <c r="BS17" s="238" t="s">
        <v>150</v>
      </c>
      <c r="BT17" s="104"/>
      <c r="BU17" s="145">
        <f>MIN(W12:W42)</f>
        <v>5.97</v>
      </c>
      <c r="BV17" s="238" t="s">
        <v>150</v>
      </c>
      <c r="BW17" s="145">
        <f>MAX(W12:W42)</f>
        <v>7.26</v>
      </c>
      <c r="BX17" s="104" t="s">
        <v>43</v>
      </c>
      <c r="BY17" s="104"/>
      <c r="BZ17" s="104">
        <v>0</v>
      </c>
      <c r="CA17" s="144" t="s">
        <v>48</v>
      </c>
      <c r="CB17" s="104" t="s">
        <v>23</v>
      </c>
      <c r="CC17" s="136"/>
      <c r="CE17" s="69"/>
      <c r="CF17" s="20"/>
      <c r="CG17" s="105"/>
      <c r="CH17" s="105"/>
      <c r="CI17" s="105"/>
      <c r="CJ17" s="105"/>
      <c r="CK17" s="105"/>
      <c r="CL17" s="240"/>
      <c r="CM17" s="151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4">
        <v>2515797</v>
      </c>
      <c r="D18" s="137">
        <f t="shared" si="0"/>
        <v>2.257</v>
      </c>
      <c r="E18" s="139">
        <v>3.8</v>
      </c>
      <c r="F18" s="140">
        <v>0.6</v>
      </c>
      <c r="G18" s="81" t="str">
        <f t="shared" si="8"/>
        <v>0.00</v>
      </c>
      <c r="H18" s="84">
        <v>1000</v>
      </c>
      <c r="I18" s="85">
        <v>5250</v>
      </c>
      <c r="K18" s="86" t="s">
        <v>208</v>
      </c>
      <c r="L18" s="84">
        <v>27</v>
      </c>
      <c r="M18" s="87">
        <v>0.05</v>
      </c>
      <c r="O18" s="106"/>
      <c r="Q18" s="107" t="s">
        <v>4</v>
      </c>
      <c r="R18" s="152" t="s">
        <v>4</v>
      </c>
      <c r="S18" s="108" t="s">
        <v>4</v>
      </c>
      <c r="U18" s="92">
        <v>7.16</v>
      </c>
      <c r="V18" s="93">
        <v>7.12</v>
      </c>
      <c r="W18" s="94">
        <v>6</v>
      </c>
      <c r="Y18" s="89">
        <v>10.7</v>
      </c>
      <c r="Z18" s="95">
        <v>9.8</v>
      </c>
      <c r="AA18" s="91">
        <v>9.6</v>
      </c>
      <c r="AC18" s="92">
        <v>4.5</v>
      </c>
      <c r="AD18" s="90">
        <v>0.01</v>
      </c>
      <c r="AE18" s="96">
        <v>0</v>
      </c>
      <c r="AG18" s="45">
        <f t="shared" si="1"/>
        <v>7</v>
      </c>
      <c r="AI18" s="97"/>
      <c r="AJ18" s="55">
        <f t="shared" si="2"/>
      </c>
      <c r="AK18" s="97"/>
      <c r="AL18" s="55">
        <f t="shared" si="3"/>
      </c>
      <c r="AM18" s="97"/>
      <c r="AN18" s="55">
        <f t="shared" si="4"/>
      </c>
      <c r="AO18" s="109"/>
      <c r="AQ18" s="99"/>
      <c r="AR18" s="55">
        <f t="shared" si="5"/>
      </c>
      <c r="AS18" s="97"/>
      <c r="AT18" s="55">
        <f t="shared" si="6"/>
      </c>
      <c r="AU18" s="97"/>
      <c r="AV18" s="55">
        <f t="shared" si="7"/>
      </c>
      <c r="AX18" s="99"/>
      <c r="AY18" s="100"/>
      <c r="AZ18" s="101"/>
      <c r="BA18" s="97"/>
      <c r="BB18" s="101"/>
      <c r="BC18" s="97"/>
      <c r="BD18" s="97"/>
      <c r="BE18" s="102"/>
      <c r="BG18" s="99"/>
      <c r="BH18" s="83"/>
      <c r="BI18" s="103"/>
      <c r="BK18" s="17"/>
      <c r="BL18" s="19"/>
      <c r="BM18" s="26" t="s">
        <v>86</v>
      </c>
      <c r="BN18" s="20"/>
      <c r="BO18" s="153" t="s">
        <v>131</v>
      </c>
      <c r="BP18" s="26"/>
      <c r="BQ18" s="237" t="s">
        <v>150</v>
      </c>
      <c r="BR18" s="237" t="s">
        <v>150</v>
      </c>
      <c r="BS18" s="237" t="s">
        <v>150</v>
      </c>
      <c r="BT18" s="104"/>
      <c r="BU18" s="158">
        <v>6</v>
      </c>
      <c r="BV18" s="237" t="s">
        <v>150</v>
      </c>
      <c r="BW18" s="155">
        <v>8.5</v>
      </c>
      <c r="BX18" s="155" t="s">
        <v>43</v>
      </c>
      <c r="BY18" s="104"/>
      <c r="BZ18" s="237" t="s">
        <v>150</v>
      </c>
      <c r="CA18" s="157" t="s">
        <v>48</v>
      </c>
      <c r="CB18" s="155" t="s">
        <v>23</v>
      </c>
      <c r="CC18" s="136"/>
      <c r="CE18" s="69"/>
      <c r="CF18" s="20" t="s">
        <v>141</v>
      </c>
      <c r="CG18" s="105">
        <f>(IF(((SUM(AM36:AM38))=0)," ",(AVERAGE(AM36:AM38))))</f>
        <v>20.666666666666668</v>
      </c>
      <c r="CH18" s="105">
        <f>(IF(((SUM(AN36:AN38))=0)," ",(AVERAGE(AN36:AN38))))</f>
        <v>380.78216</v>
      </c>
      <c r="CI18" s="105"/>
      <c r="CJ18" s="105">
        <f>(IF(((SUM(AU36:AU38))=0)," ",(AVERAGE(AU36:AU38))))</f>
        <v>28</v>
      </c>
      <c r="CK18" s="105">
        <f>(IF(((SUM(AV36:AV38))=0)," ",(AVERAGE(AV36:AV38))))</f>
        <v>515.47038</v>
      </c>
      <c r="CL18" s="240"/>
      <c r="CM18" s="151">
        <f>(AVERAGE(AE33:AE39))</f>
        <v>0.0014285714285714286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4">
        <v>2517998</v>
      </c>
      <c r="D19" s="137">
        <f t="shared" si="0"/>
        <v>2.201</v>
      </c>
      <c r="E19" s="139">
        <v>3.8</v>
      </c>
      <c r="F19" s="140">
        <v>0.6</v>
      </c>
      <c r="G19" s="81" t="str">
        <f t="shared" si="8"/>
        <v>0.00</v>
      </c>
      <c r="H19" s="84">
        <v>0</v>
      </c>
      <c r="I19" s="85">
        <v>2000</v>
      </c>
      <c r="K19" s="86" t="s">
        <v>209</v>
      </c>
      <c r="L19" s="84">
        <v>14</v>
      </c>
      <c r="M19" s="87">
        <v>0</v>
      </c>
      <c r="O19" s="106"/>
      <c r="Q19" s="107"/>
      <c r="R19" s="152"/>
      <c r="S19" s="108"/>
      <c r="U19" s="92">
        <v>7.06</v>
      </c>
      <c r="V19" s="93">
        <v>7.17</v>
      </c>
      <c r="W19" s="94">
        <v>6.15</v>
      </c>
      <c r="Y19" s="89">
        <v>10.4</v>
      </c>
      <c r="Z19" s="95">
        <v>9.5</v>
      </c>
      <c r="AA19" s="91">
        <v>8.7</v>
      </c>
      <c r="AC19" s="92">
        <v>4</v>
      </c>
      <c r="AD19" s="90">
        <v>0.01</v>
      </c>
      <c r="AE19" s="96">
        <v>0</v>
      </c>
      <c r="AG19" s="45">
        <f t="shared" si="1"/>
        <v>8</v>
      </c>
      <c r="AI19" s="97"/>
      <c r="AJ19" s="55">
        <f t="shared" si="2"/>
      </c>
      <c r="AK19" s="97"/>
      <c r="AL19" s="55">
        <f t="shared" si="3"/>
      </c>
      <c r="AM19" s="97"/>
      <c r="AN19" s="55">
        <f t="shared" si="4"/>
      </c>
      <c r="AO19" s="109"/>
      <c r="AQ19" s="99"/>
      <c r="AR19" s="55">
        <f t="shared" si="5"/>
      </c>
      <c r="AS19" s="97"/>
      <c r="AT19" s="55">
        <f t="shared" si="6"/>
      </c>
      <c r="AU19" s="97"/>
      <c r="AV19" s="55">
        <f t="shared" si="7"/>
      </c>
      <c r="AX19" s="99"/>
      <c r="AY19" s="100"/>
      <c r="AZ19" s="101"/>
      <c r="BA19" s="97"/>
      <c r="BB19" s="101"/>
      <c r="BC19" s="97"/>
      <c r="BD19" s="97"/>
      <c r="BE19" s="102"/>
      <c r="BG19" s="99"/>
      <c r="BH19" s="83"/>
      <c r="BI19" s="103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5"/>
      <c r="CH19" s="105"/>
      <c r="CI19" s="105"/>
      <c r="CJ19" s="105"/>
      <c r="CK19" s="105"/>
      <c r="CL19" s="240"/>
      <c r="CM19" s="151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4">
        <v>2520192</v>
      </c>
      <c r="D20" s="137">
        <f t="shared" si="0"/>
        <v>2.194</v>
      </c>
      <c r="E20" s="139">
        <v>4.4</v>
      </c>
      <c r="F20" s="140">
        <v>0.5</v>
      </c>
      <c r="G20" s="81" t="str">
        <f t="shared" si="8"/>
        <v>0.00</v>
      </c>
      <c r="H20" s="84">
        <v>6200</v>
      </c>
      <c r="I20" s="85">
        <v>5500</v>
      </c>
      <c r="K20" s="86" t="s">
        <v>209</v>
      </c>
      <c r="L20" s="84">
        <v>21</v>
      </c>
      <c r="M20" s="87">
        <v>0.1</v>
      </c>
      <c r="O20" s="106"/>
      <c r="Q20" s="107"/>
      <c r="R20" s="152"/>
      <c r="S20" s="108"/>
      <c r="U20" s="92">
        <v>7.37</v>
      </c>
      <c r="V20" s="93">
        <v>7.15</v>
      </c>
      <c r="W20" s="94">
        <v>6.37</v>
      </c>
      <c r="Y20" s="89">
        <v>10.3</v>
      </c>
      <c r="Z20" s="95">
        <v>10</v>
      </c>
      <c r="AA20" s="91">
        <v>9.4</v>
      </c>
      <c r="AC20" s="92">
        <v>6</v>
      </c>
      <c r="AD20" s="90">
        <v>0.01</v>
      </c>
      <c r="AE20" s="96">
        <v>0</v>
      </c>
      <c r="AG20" s="45">
        <f t="shared" si="1"/>
        <v>9</v>
      </c>
      <c r="AI20" s="97"/>
      <c r="AJ20" s="55">
        <f t="shared" si="2"/>
      </c>
      <c r="AK20" s="97"/>
      <c r="AL20" s="55">
        <f t="shared" si="3"/>
      </c>
      <c r="AM20" s="97"/>
      <c r="AN20" s="55">
        <f t="shared" si="4"/>
      </c>
      <c r="AO20" s="109"/>
      <c r="AQ20" s="99"/>
      <c r="AR20" s="55">
        <f t="shared" si="5"/>
      </c>
      <c r="AS20" s="97"/>
      <c r="AT20" s="55">
        <f t="shared" si="6"/>
      </c>
      <c r="AU20" s="97"/>
      <c r="AV20" s="55">
        <f t="shared" si="7"/>
      </c>
      <c r="AX20" s="99">
        <v>63166</v>
      </c>
      <c r="AY20" s="100">
        <v>3</v>
      </c>
      <c r="AZ20" s="101">
        <v>4</v>
      </c>
      <c r="BA20" s="97">
        <v>40.3</v>
      </c>
      <c r="BB20" s="101">
        <v>28</v>
      </c>
      <c r="BC20" s="97">
        <v>24</v>
      </c>
      <c r="BD20" s="97"/>
      <c r="BE20" s="102"/>
      <c r="BG20" s="99">
        <v>24</v>
      </c>
      <c r="BH20" s="83" t="s">
        <v>210</v>
      </c>
      <c r="BI20" s="103" t="s">
        <v>211</v>
      </c>
      <c r="CE20" s="69"/>
      <c r="CF20" s="20" t="s">
        <v>142</v>
      </c>
      <c r="CG20" s="105"/>
      <c r="CH20" s="105"/>
      <c r="CI20" s="105"/>
      <c r="CJ20" s="105"/>
      <c r="CK20" s="105"/>
      <c r="CL20" s="240"/>
      <c r="CM20" s="151"/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2">
        <v>2522392</v>
      </c>
      <c r="D21" s="138">
        <f t="shared" si="0"/>
        <v>2.2</v>
      </c>
      <c r="E21" s="141">
        <v>3.8</v>
      </c>
      <c r="F21" s="142">
        <v>0.4</v>
      </c>
      <c r="G21" s="183" t="str">
        <f t="shared" si="8"/>
        <v>0.00</v>
      </c>
      <c r="H21" s="112">
        <v>3000</v>
      </c>
      <c r="I21" s="113">
        <v>7000</v>
      </c>
      <c r="K21" s="114" t="s">
        <v>209</v>
      </c>
      <c r="L21" s="112">
        <v>35</v>
      </c>
      <c r="M21" s="115">
        <v>0.25</v>
      </c>
      <c r="O21" s="116"/>
      <c r="Q21" s="107"/>
      <c r="R21" s="152"/>
      <c r="S21" s="108"/>
      <c r="U21" s="117">
        <v>7.09</v>
      </c>
      <c r="V21" s="118">
        <v>7.12</v>
      </c>
      <c r="W21" s="119">
        <v>6.38</v>
      </c>
      <c r="Y21" s="120">
        <v>10.6</v>
      </c>
      <c r="Z21" s="121">
        <v>10.2</v>
      </c>
      <c r="AA21" s="122">
        <v>10.2</v>
      </c>
      <c r="AC21" s="117">
        <v>4.5</v>
      </c>
      <c r="AD21" s="123">
        <v>0</v>
      </c>
      <c r="AE21" s="124">
        <v>0</v>
      </c>
      <c r="AG21" s="45">
        <f t="shared" si="1"/>
        <v>10</v>
      </c>
      <c r="AI21" s="125"/>
      <c r="AJ21" s="65">
        <f t="shared" si="2"/>
      </c>
      <c r="AK21" s="125"/>
      <c r="AL21" s="65">
        <f t="shared" si="3"/>
      </c>
      <c r="AM21" s="125"/>
      <c r="AN21" s="65">
        <f t="shared" si="4"/>
      </c>
      <c r="AO21" s="126"/>
      <c r="AQ21" s="127"/>
      <c r="AR21" s="65">
        <f t="shared" si="5"/>
      </c>
      <c r="AS21" s="125"/>
      <c r="AT21" s="65">
        <f t="shared" si="6"/>
      </c>
      <c r="AU21" s="125"/>
      <c r="AV21" s="65">
        <f t="shared" si="7"/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4">
        <v>2524627</v>
      </c>
      <c r="D22" s="137">
        <f t="shared" si="0"/>
        <v>2.235</v>
      </c>
      <c r="E22" s="139">
        <v>4</v>
      </c>
      <c r="F22" s="140">
        <v>0.6</v>
      </c>
      <c r="G22" s="81" t="str">
        <f t="shared" si="8"/>
        <v>0.00</v>
      </c>
      <c r="H22" s="84">
        <v>0</v>
      </c>
      <c r="I22" s="85">
        <v>10000</v>
      </c>
      <c r="K22" s="86" t="s">
        <v>209</v>
      </c>
      <c r="L22" s="84">
        <v>27</v>
      </c>
      <c r="M22" s="87">
        <v>0.01</v>
      </c>
      <c r="O22" s="106"/>
      <c r="Q22" s="107" t="s">
        <v>4</v>
      </c>
      <c r="R22" s="152" t="s">
        <v>4</v>
      </c>
      <c r="S22" s="108" t="s">
        <v>4</v>
      </c>
      <c r="U22" s="92">
        <v>7.41</v>
      </c>
      <c r="V22" s="93">
        <v>7.14</v>
      </c>
      <c r="W22" s="94">
        <v>6.01</v>
      </c>
      <c r="Y22" s="89">
        <v>10.7</v>
      </c>
      <c r="Z22" s="95">
        <v>10.3</v>
      </c>
      <c r="AA22" s="91">
        <v>10.6</v>
      </c>
      <c r="AC22" s="92">
        <v>7</v>
      </c>
      <c r="AD22" s="90">
        <v>0</v>
      </c>
      <c r="AE22" s="96">
        <v>0</v>
      </c>
      <c r="AG22" s="45">
        <f t="shared" si="1"/>
        <v>11</v>
      </c>
      <c r="AI22" s="97">
        <v>307</v>
      </c>
      <c r="AJ22" s="55">
        <f t="shared" si="2"/>
        <v>5722.449299999999</v>
      </c>
      <c r="AK22" s="97"/>
      <c r="AL22" s="55">
        <f t="shared" si="3"/>
      </c>
      <c r="AM22" s="97">
        <v>21</v>
      </c>
      <c r="AN22" s="55">
        <f t="shared" si="4"/>
        <v>391.43789999999996</v>
      </c>
      <c r="AO22" s="109">
        <v>16</v>
      </c>
      <c r="AQ22" s="99">
        <v>274</v>
      </c>
      <c r="AR22" s="55">
        <f t="shared" si="5"/>
        <v>5107.3326</v>
      </c>
      <c r="AS22" s="97"/>
      <c r="AT22" s="55">
        <f t="shared" si="6"/>
      </c>
      <c r="AU22" s="97">
        <v>23</v>
      </c>
      <c r="AV22" s="55">
        <f t="shared" si="7"/>
        <v>428.7176999999999</v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49">
        <f>(IF(((SUM(AV12:AV42))=0)," ",(AVERAGE(AV12:AV42))))</f>
        <v>477.12584</v>
      </c>
      <c r="BR22" s="149">
        <f>MAX(AV12:AV42)</f>
        <v>564.13428</v>
      </c>
      <c r="BS22" s="104" t="s">
        <v>126</v>
      </c>
      <c r="BT22" s="104"/>
      <c r="BU22" s="149">
        <f>(IF(((SUM(AU12:AU42))=0)," ",(AVERAGE(AU12:AU42))))</f>
        <v>25.25</v>
      </c>
      <c r="BV22" s="143">
        <f>(CJ23)</f>
        <v>28</v>
      </c>
      <c r="BW22" s="149">
        <f>MAX(AU12:AU42)</f>
        <v>31</v>
      </c>
      <c r="BX22" s="104" t="s">
        <v>128</v>
      </c>
      <c r="BY22" s="104"/>
      <c r="BZ22" s="104">
        <v>0</v>
      </c>
      <c r="CA22" s="144" t="s">
        <v>47</v>
      </c>
      <c r="CB22" s="104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4">
        <v>2526830</v>
      </c>
      <c r="D23" s="137">
        <f t="shared" si="0"/>
        <v>2.203</v>
      </c>
      <c r="E23" s="139">
        <v>3.8</v>
      </c>
      <c r="F23" s="140">
        <v>0.6</v>
      </c>
      <c r="G23" s="81" t="str">
        <f t="shared" si="8"/>
        <v>0.00</v>
      </c>
      <c r="H23" s="84">
        <v>0</v>
      </c>
      <c r="I23" s="85">
        <v>4500</v>
      </c>
      <c r="K23" s="86" t="s">
        <v>209</v>
      </c>
      <c r="L23" s="84">
        <v>19</v>
      </c>
      <c r="M23" s="87">
        <v>0</v>
      </c>
      <c r="O23" s="106"/>
      <c r="Q23" s="107"/>
      <c r="R23" s="152"/>
      <c r="S23" s="108"/>
      <c r="U23" s="92">
        <v>7.46</v>
      </c>
      <c r="V23" s="93">
        <v>7.13</v>
      </c>
      <c r="W23" s="94">
        <v>5.97</v>
      </c>
      <c r="Y23" s="89">
        <v>10.9</v>
      </c>
      <c r="Z23" s="95">
        <v>9.5</v>
      </c>
      <c r="AA23" s="91">
        <v>9.8</v>
      </c>
      <c r="AC23" s="92">
        <v>7.5</v>
      </c>
      <c r="AD23" s="90">
        <v>0.01</v>
      </c>
      <c r="AE23" s="96">
        <v>0</v>
      </c>
      <c r="AG23" s="45">
        <f t="shared" si="1"/>
        <v>12</v>
      </c>
      <c r="AI23" s="97">
        <v>313</v>
      </c>
      <c r="AJ23" s="55">
        <f t="shared" si="2"/>
        <v>5750.75526</v>
      </c>
      <c r="AK23" s="97"/>
      <c r="AL23" s="55">
        <f t="shared" si="3"/>
      </c>
      <c r="AM23" s="97">
        <v>20</v>
      </c>
      <c r="AN23" s="55">
        <f t="shared" si="4"/>
        <v>367.46039999999994</v>
      </c>
      <c r="AO23" s="109">
        <v>14</v>
      </c>
      <c r="AQ23" s="99">
        <v>228</v>
      </c>
      <c r="AR23" s="55">
        <f t="shared" si="5"/>
        <v>4189.04856</v>
      </c>
      <c r="AS23" s="97"/>
      <c r="AT23" s="55">
        <f t="shared" si="6"/>
      </c>
      <c r="AU23" s="97">
        <v>27</v>
      </c>
      <c r="AV23" s="55">
        <f t="shared" si="7"/>
        <v>496.07153999999997</v>
      </c>
      <c r="AX23" s="99">
        <v>48362</v>
      </c>
      <c r="AY23" s="100">
        <v>3</v>
      </c>
      <c r="AZ23" s="101">
        <v>3.25</v>
      </c>
      <c r="BA23" s="97">
        <v>31</v>
      </c>
      <c r="BB23" s="101">
        <v>26</v>
      </c>
      <c r="BC23" s="97">
        <v>24</v>
      </c>
      <c r="BD23" s="97"/>
      <c r="BE23" s="102"/>
      <c r="BG23" s="99">
        <v>24</v>
      </c>
      <c r="BH23" s="83" t="s">
        <v>210</v>
      </c>
      <c r="BI23" s="103" t="s">
        <v>211</v>
      </c>
      <c r="BK23" s="17"/>
      <c r="BL23" s="19"/>
      <c r="BM23" s="26" t="s">
        <v>86</v>
      </c>
      <c r="BN23" s="20"/>
      <c r="BO23" s="153" t="s">
        <v>131</v>
      </c>
      <c r="BP23" s="26"/>
      <c r="BQ23" s="236">
        <v>963</v>
      </c>
      <c r="BR23" s="236">
        <v>1605</v>
      </c>
      <c r="BS23" s="155" t="s">
        <v>126</v>
      </c>
      <c r="BT23" s="104"/>
      <c r="BU23" s="236">
        <v>30</v>
      </c>
      <c r="BV23" s="156">
        <v>45</v>
      </c>
      <c r="BW23" s="236">
        <v>50</v>
      </c>
      <c r="BX23" s="155" t="s">
        <v>128</v>
      </c>
      <c r="BY23" s="104"/>
      <c r="BZ23" s="237" t="s">
        <v>150</v>
      </c>
      <c r="CA23" s="157" t="s">
        <v>47</v>
      </c>
      <c r="CB23" s="155">
        <v>24</v>
      </c>
      <c r="CC23" s="136"/>
      <c r="CE23" s="69"/>
      <c r="CF23" s="72" t="s">
        <v>53</v>
      </c>
      <c r="CG23" s="149">
        <f>(IF(((SUM(CG12:CG20))=0)," ",(MAX(CG12:CG20))))</f>
        <v>20.666666666666668</v>
      </c>
      <c r="CH23" s="149">
        <f>(IF(((SUM(CH12:CH20))=0)," ",(MAX(CH12:CH20))))</f>
        <v>394.69884</v>
      </c>
      <c r="CI23" s="185"/>
      <c r="CJ23" s="149">
        <f>(IF(((SUM(CJ12:CJ20))=0)," ",(MAX(CJ12:CJ20))))</f>
        <v>28</v>
      </c>
      <c r="CK23" s="149">
        <f>(IF(((SUM(CK12:CK20))=0)," ",(MAX(CK12:CK20))))</f>
        <v>515.47038</v>
      </c>
      <c r="CL23" s="71"/>
      <c r="CM23" s="277">
        <f>(MAX(CM12:CM20))</f>
        <v>0.004285714285714286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4">
        <v>2529012</v>
      </c>
      <c r="D24" s="137">
        <f t="shared" si="0"/>
        <v>2.182</v>
      </c>
      <c r="E24" s="139">
        <v>3.6</v>
      </c>
      <c r="F24" s="140">
        <v>0.4</v>
      </c>
      <c r="G24" s="81" t="str">
        <f t="shared" si="8"/>
        <v>0.00</v>
      </c>
      <c r="H24" s="84">
        <v>0</v>
      </c>
      <c r="I24" s="85">
        <v>4000</v>
      </c>
      <c r="K24" s="86" t="s">
        <v>209</v>
      </c>
      <c r="L24" s="84">
        <v>26</v>
      </c>
      <c r="M24" s="87">
        <v>0</v>
      </c>
      <c r="O24" s="106">
        <v>5</v>
      </c>
      <c r="Q24" s="107" t="s">
        <v>10</v>
      </c>
      <c r="R24" s="152" t="s">
        <v>10</v>
      </c>
      <c r="S24" s="108" t="s">
        <v>10</v>
      </c>
      <c r="U24" s="92">
        <v>7.44</v>
      </c>
      <c r="V24" s="93">
        <v>7.19</v>
      </c>
      <c r="W24" s="94">
        <v>6.23</v>
      </c>
      <c r="Y24" s="89">
        <v>10.9</v>
      </c>
      <c r="Z24" s="95">
        <v>9.1</v>
      </c>
      <c r="AA24" s="91">
        <v>8.8</v>
      </c>
      <c r="AC24" s="92">
        <v>7.5</v>
      </c>
      <c r="AD24" s="90">
        <v>0.01</v>
      </c>
      <c r="AE24" s="96">
        <v>0</v>
      </c>
      <c r="AG24" s="45">
        <f t="shared" si="1"/>
        <v>13</v>
      </c>
      <c r="AI24" s="97">
        <v>360</v>
      </c>
      <c r="AJ24" s="55">
        <f t="shared" si="2"/>
        <v>6551.2368</v>
      </c>
      <c r="AK24" s="97">
        <v>190</v>
      </c>
      <c r="AL24" s="55">
        <f t="shared" si="3"/>
        <v>3457.5971999999997</v>
      </c>
      <c r="AM24" s="97">
        <v>20</v>
      </c>
      <c r="AN24" s="55">
        <f t="shared" si="4"/>
        <v>363.9576</v>
      </c>
      <c r="AO24" s="109">
        <v>15</v>
      </c>
      <c r="AQ24" s="99">
        <v>308</v>
      </c>
      <c r="AR24" s="55">
        <f t="shared" si="5"/>
        <v>5604.947039999999</v>
      </c>
      <c r="AS24" s="97">
        <v>80</v>
      </c>
      <c r="AT24" s="55">
        <f t="shared" si="6"/>
        <v>1455.8304</v>
      </c>
      <c r="AU24" s="97">
        <v>31</v>
      </c>
      <c r="AV24" s="55">
        <f t="shared" si="7"/>
        <v>564.13428</v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4">
        <v>2531397</v>
      </c>
      <c r="D25" s="137">
        <f t="shared" si="0"/>
        <v>2.385</v>
      </c>
      <c r="E25" s="139">
        <v>3.6</v>
      </c>
      <c r="F25" s="140">
        <v>0.4</v>
      </c>
      <c r="G25" s="81" t="str">
        <f t="shared" si="8"/>
        <v>0.00</v>
      </c>
      <c r="H25" s="84">
        <v>1200</v>
      </c>
      <c r="I25" s="85">
        <v>3700</v>
      </c>
      <c r="K25" s="86" t="s">
        <v>209</v>
      </c>
      <c r="L25" s="84">
        <v>33</v>
      </c>
      <c r="M25" s="87">
        <v>0</v>
      </c>
      <c r="O25" s="106"/>
      <c r="Q25" s="107"/>
      <c r="R25" s="152"/>
      <c r="S25" s="108"/>
      <c r="U25" s="92">
        <v>7.11</v>
      </c>
      <c r="V25" s="93">
        <v>7.22</v>
      </c>
      <c r="W25" s="94">
        <v>6.27</v>
      </c>
      <c r="Y25" s="89">
        <v>10.3</v>
      </c>
      <c r="Z25" s="95">
        <v>10.2</v>
      </c>
      <c r="AA25" s="91">
        <v>10.6</v>
      </c>
      <c r="AC25" s="92">
        <v>3</v>
      </c>
      <c r="AD25" s="90">
        <v>0.01</v>
      </c>
      <c r="AE25" s="96">
        <v>0</v>
      </c>
      <c r="AG25" s="45">
        <f t="shared" si="1"/>
        <v>14</v>
      </c>
      <c r="AI25" s="97"/>
      <c r="AJ25" s="55">
        <f t="shared" si="2"/>
      </c>
      <c r="AK25" s="97"/>
      <c r="AL25" s="55">
        <f t="shared" si="3"/>
      </c>
      <c r="AM25" s="97"/>
      <c r="AN25" s="55">
        <f t="shared" si="4"/>
      </c>
      <c r="AO25" s="109"/>
      <c r="AQ25" s="99"/>
      <c r="AR25" s="55">
        <f t="shared" si="5"/>
      </c>
      <c r="AS25" s="97"/>
      <c r="AT25" s="55">
        <f t="shared" si="6"/>
      </c>
      <c r="AU25" s="97"/>
      <c r="AV25" s="55">
        <f t="shared" si="7"/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2">
        <v>2533269</v>
      </c>
      <c r="D26" s="138">
        <f t="shared" si="0"/>
        <v>1.872</v>
      </c>
      <c r="E26" s="141">
        <v>3.6</v>
      </c>
      <c r="F26" s="142">
        <v>0.4</v>
      </c>
      <c r="G26" s="183" t="str">
        <f t="shared" si="8"/>
        <v>0.00</v>
      </c>
      <c r="H26" s="112">
        <v>0</v>
      </c>
      <c r="I26" s="113">
        <v>0</v>
      </c>
      <c r="K26" s="114" t="s">
        <v>209</v>
      </c>
      <c r="L26" s="112">
        <v>11</v>
      </c>
      <c r="M26" s="115">
        <v>0</v>
      </c>
      <c r="O26" s="116"/>
      <c r="Q26" s="107" t="s">
        <v>11</v>
      </c>
      <c r="R26" s="152" t="s">
        <v>11</v>
      </c>
      <c r="S26" s="108" t="s">
        <v>11</v>
      </c>
      <c r="U26" s="117">
        <v>7.06</v>
      </c>
      <c r="V26" s="118">
        <v>7.15</v>
      </c>
      <c r="W26" s="119">
        <v>6.47</v>
      </c>
      <c r="Y26" s="120">
        <v>9.9</v>
      </c>
      <c r="Z26" s="121">
        <v>9.3</v>
      </c>
      <c r="AA26" s="122">
        <v>8.1</v>
      </c>
      <c r="AC26" s="117">
        <v>2</v>
      </c>
      <c r="AD26" s="123">
        <v>0.01</v>
      </c>
      <c r="AE26" s="124">
        <v>0</v>
      </c>
      <c r="AG26" s="45">
        <f t="shared" si="1"/>
        <v>15</v>
      </c>
      <c r="AI26" s="125"/>
      <c r="AJ26" s="65">
        <f t="shared" si="2"/>
      </c>
      <c r="AK26" s="125"/>
      <c r="AL26" s="65">
        <f t="shared" si="3"/>
      </c>
      <c r="AM26" s="125"/>
      <c r="AN26" s="65">
        <f t="shared" si="4"/>
      </c>
      <c r="AO26" s="126"/>
      <c r="AQ26" s="127"/>
      <c r="AR26" s="65">
        <f t="shared" si="5"/>
      </c>
      <c r="AS26" s="125"/>
      <c r="AT26" s="65">
        <f t="shared" si="6"/>
      </c>
      <c r="AU26" s="125"/>
      <c r="AV26" s="65">
        <f t="shared" si="7"/>
      </c>
      <c r="AX26" s="127"/>
      <c r="AY26" s="128"/>
      <c r="AZ26" s="129"/>
      <c r="BA26" s="125"/>
      <c r="BB26" s="129"/>
      <c r="BC26" s="125"/>
      <c r="BD26" s="125"/>
      <c r="BE26" s="130"/>
      <c r="BG26" s="127"/>
      <c r="BH26" s="110"/>
      <c r="BI26" s="131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4">
        <v>2535271</v>
      </c>
      <c r="D27" s="137">
        <f t="shared" si="0"/>
        <v>2.002</v>
      </c>
      <c r="E27" s="139">
        <v>4</v>
      </c>
      <c r="F27" s="140">
        <v>0.4</v>
      </c>
      <c r="G27" s="81" t="str">
        <f t="shared" si="8"/>
        <v>0.00</v>
      </c>
      <c r="H27" s="84">
        <v>1000</v>
      </c>
      <c r="I27" s="85">
        <v>1000</v>
      </c>
      <c r="K27" s="86" t="s">
        <v>208</v>
      </c>
      <c r="L27" s="84">
        <v>12</v>
      </c>
      <c r="M27" s="87">
        <v>0</v>
      </c>
      <c r="O27" s="106"/>
      <c r="Q27" s="107"/>
      <c r="R27" s="152"/>
      <c r="S27" s="108"/>
      <c r="U27" s="92">
        <v>7.33</v>
      </c>
      <c r="V27" s="93">
        <v>7.25</v>
      </c>
      <c r="W27" s="94">
        <v>6.55</v>
      </c>
      <c r="Y27" s="89">
        <v>9.9</v>
      </c>
      <c r="Z27" s="95">
        <v>9</v>
      </c>
      <c r="AA27" s="91">
        <v>7.9</v>
      </c>
      <c r="AC27" s="92">
        <v>2.5</v>
      </c>
      <c r="AD27" s="90">
        <v>0.01</v>
      </c>
      <c r="AE27" s="96">
        <v>0.01</v>
      </c>
      <c r="AG27" s="45">
        <f t="shared" si="1"/>
        <v>16</v>
      </c>
      <c r="AI27" s="97"/>
      <c r="AJ27" s="55">
        <f t="shared" si="2"/>
      </c>
      <c r="AK27" s="97"/>
      <c r="AL27" s="55">
        <f t="shared" si="3"/>
      </c>
      <c r="AM27" s="97"/>
      <c r="AN27" s="55">
        <f t="shared" si="4"/>
      </c>
      <c r="AO27" s="109"/>
      <c r="AQ27" s="99"/>
      <c r="AR27" s="55">
        <f t="shared" si="5"/>
      </c>
      <c r="AS27" s="97"/>
      <c r="AT27" s="55">
        <f t="shared" si="6"/>
      </c>
      <c r="AU27" s="97"/>
      <c r="AV27" s="55">
        <f t="shared" si="7"/>
      </c>
      <c r="AX27" s="99"/>
      <c r="AY27" s="100"/>
      <c r="AZ27" s="101"/>
      <c r="BA27" s="97"/>
      <c r="BB27" s="101"/>
      <c r="BC27" s="97"/>
      <c r="BD27" s="97"/>
      <c r="BE27" s="102"/>
      <c r="BG27" s="99"/>
      <c r="BH27" s="83"/>
      <c r="BI27" s="103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4">
        <v>2537385</v>
      </c>
      <c r="D28" s="137">
        <f t="shared" si="0"/>
        <v>2.114</v>
      </c>
      <c r="E28" s="139">
        <v>4</v>
      </c>
      <c r="F28" s="140">
        <v>0.4</v>
      </c>
      <c r="G28" s="81" t="str">
        <f t="shared" si="8"/>
        <v>0.00</v>
      </c>
      <c r="H28" s="84">
        <v>2350</v>
      </c>
      <c r="I28" s="85">
        <v>9000</v>
      </c>
      <c r="K28" s="86" t="s">
        <v>209</v>
      </c>
      <c r="L28" s="84">
        <v>13</v>
      </c>
      <c r="M28" s="87">
        <v>0</v>
      </c>
      <c r="O28" s="106"/>
      <c r="Q28" s="107"/>
      <c r="R28" s="152"/>
      <c r="S28" s="108"/>
      <c r="U28" s="92">
        <v>7.2</v>
      </c>
      <c r="V28" s="93">
        <v>7.15</v>
      </c>
      <c r="W28" s="94">
        <v>7.17</v>
      </c>
      <c r="Y28" s="89">
        <v>10.8</v>
      </c>
      <c r="Z28" s="95">
        <v>10</v>
      </c>
      <c r="AA28" s="91">
        <v>9.7</v>
      </c>
      <c r="AC28" s="92">
        <v>5</v>
      </c>
      <c r="AD28" s="90">
        <v>0</v>
      </c>
      <c r="AE28" s="96">
        <v>0</v>
      </c>
      <c r="AG28" s="45">
        <f t="shared" si="1"/>
        <v>17</v>
      </c>
      <c r="AI28" s="97"/>
      <c r="AJ28" s="55">
        <f t="shared" si="2"/>
      </c>
      <c r="AK28" s="97"/>
      <c r="AL28" s="55">
        <f t="shared" si="3"/>
      </c>
      <c r="AM28" s="97"/>
      <c r="AN28" s="55">
        <f t="shared" si="4"/>
      </c>
      <c r="AO28" s="109"/>
      <c r="AQ28" s="99"/>
      <c r="AR28" s="55">
        <f t="shared" si="5"/>
      </c>
      <c r="AS28" s="97"/>
      <c r="AT28" s="55">
        <f t="shared" si="6"/>
      </c>
      <c r="AU28" s="97"/>
      <c r="AV28" s="55">
        <f t="shared" si="7"/>
      </c>
      <c r="AX28" s="99">
        <v>73056</v>
      </c>
      <c r="AY28" s="100">
        <v>2</v>
      </c>
      <c r="AZ28" s="101">
        <v>5.25</v>
      </c>
      <c r="BA28" s="97">
        <v>52.7</v>
      </c>
      <c r="BB28" s="101">
        <v>27</v>
      </c>
      <c r="BC28" s="97">
        <v>24</v>
      </c>
      <c r="BD28" s="97"/>
      <c r="BE28" s="102"/>
      <c r="BG28" s="99">
        <v>12</v>
      </c>
      <c r="BH28" s="83" t="s">
        <v>210</v>
      </c>
      <c r="BI28" s="103" t="s">
        <v>211</v>
      </c>
      <c r="BK28" s="17"/>
      <c r="BL28" s="19"/>
      <c r="BM28" s="56" t="s">
        <v>9</v>
      </c>
      <c r="BN28" s="20"/>
      <c r="BO28" s="57" t="s">
        <v>130</v>
      </c>
      <c r="BP28" s="26"/>
      <c r="BQ28" s="238" t="s">
        <v>150</v>
      </c>
      <c r="BR28" s="238" t="s">
        <v>150</v>
      </c>
      <c r="BS28" s="238" t="s">
        <v>150</v>
      </c>
      <c r="BT28" s="238"/>
      <c r="BU28" s="238" t="s">
        <v>150</v>
      </c>
      <c r="BV28" s="146">
        <f>(CM23)</f>
        <v>0.004285714285714286</v>
      </c>
      <c r="BW28" s="146">
        <f>MAX(AE12:AE42)</f>
        <v>0.01</v>
      </c>
      <c r="BX28" s="104" t="s">
        <v>128</v>
      </c>
      <c r="BY28" s="104"/>
      <c r="BZ28" s="104">
        <v>0</v>
      </c>
      <c r="CA28" s="144" t="s">
        <v>48</v>
      </c>
      <c r="CB28" s="104" t="s">
        <v>23</v>
      </c>
      <c r="CC28" s="136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4">
        <v>2539624</v>
      </c>
      <c r="D29" s="137">
        <f t="shared" si="0"/>
        <v>2.239</v>
      </c>
      <c r="E29" s="139">
        <v>4.4</v>
      </c>
      <c r="F29" s="140">
        <v>0.4</v>
      </c>
      <c r="G29" s="81" t="str">
        <f t="shared" si="8"/>
        <v>0.00</v>
      </c>
      <c r="H29" s="84">
        <v>3200</v>
      </c>
      <c r="I29" s="85">
        <v>1000</v>
      </c>
      <c r="K29" s="86" t="s">
        <v>209</v>
      </c>
      <c r="L29" s="84">
        <v>24</v>
      </c>
      <c r="M29" s="87">
        <v>0</v>
      </c>
      <c r="O29" s="106"/>
      <c r="Q29" s="107"/>
      <c r="R29" s="152"/>
      <c r="S29" s="108"/>
      <c r="U29" s="92">
        <v>7.38</v>
      </c>
      <c r="V29" s="93">
        <v>7.27</v>
      </c>
      <c r="W29" s="94">
        <v>6.83</v>
      </c>
      <c r="Y29" s="89">
        <v>9.7</v>
      </c>
      <c r="Z29" s="95">
        <v>10</v>
      </c>
      <c r="AA29" s="91">
        <v>10</v>
      </c>
      <c r="AC29" s="92">
        <v>3</v>
      </c>
      <c r="AD29" s="90">
        <v>0.01</v>
      </c>
      <c r="AE29" s="96">
        <v>0.01</v>
      </c>
      <c r="AG29" s="45">
        <f t="shared" si="1"/>
        <v>18</v>
      </c>
      <c r="AI29" s="97">
        <v>277</v>
      </c>
      <c r="AJ29" s="55">
        <f t="shared" si="2"/>
        <v>5172.49302</v>
      </c>
      <c r="AK29" s="97"/>
      <c r="AL29" s="55">
        <f t="shared" si="3"/>
      </c>
      <c r="AM29" s="97">
        <v>22</v>
      </c>
      <c r="AN29" s="55">
        <f t="shared" si="4"/>
        <v>410.81172</v>
      </c>
      <c r="AO29" s="109">
        <v>16</v>
      </c>
      <c r="AQ29" s="99">
        <v>202</v>
      </c>
      <c r="AR29" s="55">
        <f t="shared" si="5"/>
        <v>3771.9985199999996</v>
      </c>
      <c r="AS29" s="97"/>
      <c r="AT29" s="55">
        <f t="shared" si="6"/>
      </c>
      <c r="AU29" s="97">
        <v>25</v>
      </c>
      <c r="AV29" s="55">
        <f t="shared" si="7"/>
        <v>466.83149999999995</v>
      </c>
      <c r="AX29" s="99"/>
      <c r="AY29" s="100"/>
      <c r="AZ29" s="101"/>
      <c r="BA29" s="97"/>
      <c r="BB29" s="101"/>
      <c r="BC29" s="97"/>
      <c r="BD29" s="97"/>
      <c r="BE29" s="102"/>
      <c r="BG29" s="99">
        <v>12</v>
      </c>
      <c r="BH29" s="83" t="s">
        <v>210</v>
      </c>
      <c r="BI29" s="103" t="s">
        <v>211</v>
      </c>
      <c r="BK29" s="17"/>
      <c r="BL29" s="19"/>
      <c r="BM29" s="26" t="s">
        <v>86</v>
      </c>
      <c r="BN29" s="20"/>
      <c r="BO29" s="153" t="s">
        <v>131</v>
      </c>
      <c r="BP29" s="26"/>
      <c r="BQ29" s="237" t="s">
        <v>150</v>
      </c>
      <c r="BR29" s="237" t="s">
        <v>150</v>
      </c>
      <c r="BS29" s="237" t="s">
        <v>150</v>
      </c>
      <c r="BT29" s="238"/>
      <c r="BU29" s="237" t="s">
        <v>150</v>
      </c>
      <c r="BV29" s="155" t="s">
        <v>146</v>
      </c>
      <c r="BW29" s="155">
        <v>0.3</v>
      </c>
      <c r="BX29" s="155" t="s">
        <v>128</v>
      </c>
      <c r="BY29" s="104"/>
      <c r="BZ29" s="237" t="s">
        <v>150</v>
      </c>
      <c r="CA29" s="157" t="s">
        <v>48</v>
      </c>
      <c r="CB29" s="155" t="s">
        <v>23</v>
      </c>
      <c r="CC29" s="136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4">
        <v>2542028</v>
      </c>
      <c r="D30" s="137">
        <f t="shared" si="0"/>
        <v>2.404</v>
      </c>
      <c r="E30" s="139">
        <v>4</v>
      </c>
      <c r="F30" s="140">
        <v>0.6</v>
      </c>
      <c r="G30" s="81" t="str">
        <f t="shared" si="8"/>
        <v>0.00</v>
      </c>
      <c r="H30" s="84">
        <v>3000</v>
      </c>
      <c r="I30" s="85">
        <v>9000</v>
      </c>
      <c r="K30" s="86" t="s">
        <v>209</v>
      </c>
      <c r="L30" s="84">
        <v>30</v>
      </c>
      <c r="M30" s="87">
        <v>0</v>
      </c>
      <c r="O30" s="106"/>
      <c r="Q30" s="107" t="s">
        <v>12</v>
      </c>
      <c r="R30" s="152" t="s">
        <v>12</v>
      </c>
      <c r="S30" s="108" t="s">
        <v>12</v>
      </c>
      <c r="U30" s="92">
        <v>7.52</v>
      </c>
      <c r="V30" s="93">
        <v>7.24</v>
      </c>
      <c r="W30" s="94">
        <v>7.26</v>
      </c>
      <c r="Y30" s="89">
        <v>10.4</v>
      </c>
      <c r="Z30" s="95">
        <v>9.7</v>
      </c>
      <c r="AA30" s="91">
        <v>10</v>
      </c>
      <c r="AC30" s="92">
        <v>7</v>
      </c>
      <c r="AD30" s="90">
        <v>0.01</v>
      </c>
      <c r="AE30" s="96">
        <v>0</v>
      </c>
      <c r="AG30" s="45">
        <f t="shared" si="1"/>
        <v>19</v>
      </c>
      <c r="AI30" s="97">
        <v>237</v>
      </c>
      <c r="AJ30" s="55">
        <f t="shared" si="2"/>
        <v>4751.6983199999995</v>
      </c>
      <c r="AK30" s="97"/>
      <c r="AL30" s="55">
        <f t="shared" si="3"/>
      </c>
      <c r="AM30" s="97">
        <v>20</v>
      </c>
      <c r="AN30" s="55">
        <f t="shared" si="4"/>
        <v>400.9872</v>
      </c>
      <c r="AO30" s="109">
        <v>14</v>
      </c>
      <c r="AQ30" s="99">
        <v>142</v>
      </c>
      <c r="AR30" s="55">
        <f t="shared" si="5"/>
        <v>2847.0091199999997</v>
      </c>
      <c r="AS30" s="97"/>
      <c r="AT30" s="55">
        <f t="shared" si="6"/>
      </c>
      <c r="AU30" s="97">
        <v>25</v>
      </c>
      <c r="AV30" s="55">
        <f t="shared" si="7"/>
        <v>501.2339999999999</v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2">
        <v>2544260</v>
      </c>
      <c r="D31" s="138">
        <f t="shared" si="0"/>
        <v>2.232</v>
      </c>
      <c r="E31" s="141">
        <v>4.2</v>
      </c>
      <c r="F31" s="142">
        <v>1</v>
      </c>
      <c r="G31" s="183" t="str">
        <f t="shared" si="8"/>
        <v>0.00</v>
      </c>
      <c r="H31" s="112">
        <v>5700</v>
      </c>
      <c r="I31" s="113">
        <v>6000</v>
      </c>
      <c r="K31" s="114" t="s">
        <v>209</v>
      </c>
      <c r="L31" s="112">
        <v>32</v>
      </c>
      <c r="M31" s="115">
        <v>0</v>
      </c>
      <c r="O31" s="116"/>
      <c r="Q31" s="107"/>
      <c r="R31" s="152"/>
      <c r="S31" s="108"/>
      <c r="U31" s="117">
        <v>7.2</v>
      </c>
      <c r="V31" s="118">
        <v>7.26</v>
      </c>
      <c r="W31" s="119">
        <v>6.31</v>
      </c>
      <c r="Y31" s="120">
        <v>10.6</v>
      </c>
      <c r="Z31" s="121">
        <v>9.6</v>
      </c>
      <c r="AA31" s="122">
        <v>10.3</v>
      </c>
      <c r="AC31" s="117">
        <v>4</v>
      </c>
      <c r="AD31" s="123">
        <v>0.01</v>
      </c>
      <c r="AE31" s="124">
        <v>0.01</v>
      </c>
      <c r="AG31" s="45">
        <f t="shared" si="1"/>
        <v>20</v>
      </c>
      <c r="AI31" s="125">
        <v>268</v>
      </c>
      <c r="AJ31" s="65">
        <f t="shared" si="2"/>
        <v>4988.78784</v>
      </c>
      <c r="AK31" s="125"/>
      <c r="AL31" s="65">
        <f t="shared" si="3"/>
      </c>
      <c r="AM31" s="125">
        <v>20</v>
      </c>
      <c r="AN31" s="65">
        <f t="shared" si="4"/>
        <v>372.2976</v>
      </c>
      <c r="AO31" s="126">
        <v>14</v>
      </c>
      <c r="AQ31" s="127">
        <v>236</v>
      </c>
      <c r="AR31" s="65">
        <f t="shared" si="5"/>
        <v>4393.111680000001</v>
      </c>
      <c r="AS31" s="125"/>
      <c r="AT31" s="65">
        <f t="shared" si="6"/>
      </c>
      <c r="AU31" s="125">
        <v>28</v>
      </c>
      <c r="AV31" s="65">
        <f t="shared" si="7"/>
        <v>521.2166400000001</v>
      </c>
      <c r="AX31" s="127">
        <v>47528</v>
      </c>
      <c r="AY31" s="128">
        <v>3</v>
      </c>
      <c r="AZ31" s="129">
        <v>3.5</v>
      </c>
      <c r="BA31" s="125">
        <v>34.1</v>
      </c>
      <c r="BB31" s="129">
        <v>27</v>
      </c>
      <c r="BC31" s="125">
        <v>24</v>
      </c>
      <c r="BD31" s="125"/>
      <c r="BE31" s="130"/>
      <c r="BG31" s="127">
        <v>24</v>
      </c>
      <c r="BH31" s="110" t="s">
        <v>210</v>
      </c>
      <c r="BI31" s="131" t="s">
        <v>211</v>
      </c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4">
        <v>2546355</v>
      </c>
      <c r="D32" s="137">
        <f t="shared" si="0"/>
        <v>2.095</v>
      </c>
      <c r="E32" s="139">
        <v>3.6</v>
      </c>
      <c r="F32" s="140">
        <v>0.4</v>
      </c>
      <c r="G32" s="81" t="str">
        <f t="shared" si="8"/>
        <v>0.00</v>
      </c>
      <c r="H32" s="84">
        <v>0</v>
      </c>
      <c r="I32" s="85">
        <v>0</v>
      </c>
      <c r="K32" s="86" t="s">
        <v>208</v>
      </c>
      <c r="L32" s="84">
        <v>33</v>
      </c>
      <c r="M32" s="87">
        <v>0.15</v>
      </c>
      <c r="O32" s="106"/>
      <c r="Q32" s="107" t="s">
        <v>13</v>
      </c>
      <c r="R32" s="152" t="s">
        <v>13</v>
      </c>
      <c r="S32" s="108" t="s">
        <v>13</v>
      </c>
      <c r="U32" s="92">
        <v>7.37</v>
      </c>
      <c r="V32" s="93">
        <v>7.24</v>
      </c>
      <c r="W32" s="94">
        <v>6.59</v>
      </c>
      <c r="Y32" s="89">
        <v>10.1</v>
      </c>
      <c r="Z32" s="95">
        <v>10.4</v>
      </c>
      <c r="AA32" s="91">
        <v>10.9</v>
      </c>
      <c r="AC32" s="92">
        <v>5</v>
      </c>
      <c r="AD32" s="90">
        <v>0.01</v>
      </c>
      <c r="AE32" s="96">
        <v>0</v>
      </c>
      <c r="AG32" s="45">
        <f t="shared" si="1"/>
        <v>21</v>
      </c>
      <c r="AI32" s="97"/>
      <c r="AJ32" s="55">
        <f t="shared" si="2"/>
      </c>
      <c r="AK32" s="97"/>
      <c r="AL32" s="55">
        <f t="shared" si="3"/>
      </c>
      <c r="AM32" s="97"/>
      <c r="AN32" s="55">
        <f t="shared" si="4"/>
      </c>
      <c r="AO32" s="109"/>
      <c r="AQ32" s="99"/>
      <c r="AR32" s="55">
        <f t="shared" si="5"/>
      </c>
      <c r="AS32" s="97"/>
      <c r="AT32" s="55">
        <f t="shared" si="6"/>
      </c>
      <c r="AU32" s="97"/>
      <c r="AV32" s="55">
        <f t="shared" si="7"/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4">
        <v>2548391</v>
      </c>
      <c r="D33" s="137">
        <f t="shared" si="0"/>
        <v>2.036</v>
      </c>
      <c r="E33" s="139">
        <v>3.6</v>
      </c>
      <c r="F33" s="140">
        <v>0.4</v>
      </c>
      <c r="G33" s="81" t="str">
        <f t="shared" si="8"/>
        <v>0.00</v>
      </c>
      <c r="H33" s="84">
        <v>0</v>
      </c>
      <c r="I33" s="85">
        <v>0</v>
      </c>
      <c r="K33" s="86" t="s">
        <v>208</v>
      </c>
      <c r="L33" s="84">
        <v>28</v>
      </c>
      <c r="M33" s="87">
        <v>0.09</v>
      </c>
      <c r="O33" s="106"/>
      <c r="Q33" s="107"/>
      <c r="R33" s="152"/>
      <c r="S33" s="108"/>
      <c r="U33" s="92">
        <v>7.31</v>
      </c>
      <c r="V33" s="93">
        <v>7.34</v>
      </c>
      <c r="W33" s="94">
        <v>6.51</v>
      </c>
      <c r="Y33" s="89">
        <v>10.5</v>
      </c>
      <c r="Z33" s="95">
        <v>8.7</v>
      </c>
      <c r="AA33" s="91">
        <v>7.5</v>
      </c>
      <c r="AC33" s="92">
        <v>6</v>
      </c>
      <c r="AD33" s="90">
        <v>0.01</v>
      </c>
      <c r="AE33" s="96">
        <v>0.01</v>
      </c>
      <c r="AG33" s="45">
        <f t="shared" si="1"/>
        <v>22</v>
      </c>
      <c r="AI33" s="97"/>
      <c r="AJ33" s="55">
        <f t="shared" si="2"/>
      </c>
      <c r="AK33" s="97"/>
      <c r="AL33" s="55">
        <f t="shared" si="3"/>
      </c>
      <c r="AM33" s="97"/>
      <c r="AN33" s="55">
        <f t="shared" si="4"/>
      </c>
      <c r="AO33" s="109"/>
      <c r="AQ33" s="99"/>
      <c r="AR33" s="55">
        <f t="shared" si="5"/>
      </c>
      <c r="AS33" s="97"/>
      <c r="AT33" s="55">
        <f t="shared" si="6"/>
      </c>
      <c r="AU33" s="97"/>
      <c r="AV33" s="55">
        <f t="shared" si="7"/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147">
        <f>(D47)</f>
        <v>2.220241379310345</v>
      </c>
      <c r="BR33" s="147">
        <f>(D45)</f>
        <v>2.937</v>
      </c>
      <c r="BS33" s="104" t="s">
        <v>127</v>
      </c>
      <c r="BT33" s="104"/>
      <c r="BU33" s="238" t="s">
        <v>150</v>
      </c>
      <c r="BV33" s="238" t="s">
        <v>150</v>
      </c>
      <c r="BW33" s="238" t="s">
        <v>150</v>
      </c>
      <c r="BX33" s="238" t="s">
        <v>150</v>
      </c>
      <c r="BY33" s="104"/>
      <c r="BZ33" s="104">
        <v>0</v>
      </c>
      <c r="CA33" s="148" t="s">
        <v>24</v>
      </c>
      <c r="CB33" s="104" t="s">
        <v>25</v>
      </c>
      <c r="CC33" s="136"/>
      <c r="CJ33" s="338" t="s">
        <v>17</v>
      </c>
      <c r="CK33" s="340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4">
        <v>2550407</v>
      </c>
      <c r="D34" s="137">
        <f t="shared" si="0"/>
        <v>2.016</v>
      </c>
      <c r="E34" s="139">
        <v>3.6</v>
      </c>
      <c r="F34" s="140">
        <v>0.4</v>
      </c>
      <c r="G34" s="81" t="str">
        <f t="shared" si="8"/>
        <v>0.00</v>
      </c>
      <c r="H34" s="84">
        <v>0</v>
      </c>
      <c r="I34" s="85">
        <v>7000</v>
      </c>
      <c r="K34" s="86" t="s">
        <v>209</v>
      </c>
      <c r="L34" s="84">
        <v>30</v>
      </c>
      <c r="M34" s="87">
        <v>0.32</v>
      </c>
      <c r="O34" s="106"/>
      <c r="Q34" s="107" t="s">
        <v>14</v>
      </c>
      <c r="R34" s="152" t="s">
        <v>14</v>
      </c>
      <c r="S34" s="108" t="s">
        <v>14</v>
      </c>
      <c r="U34" s="92">
        <v>7.61</v>
      </c>
      <c r="V34" s="93">
        <v>7.19</v>
      </c>
      <c r="W34" s="94">
        <v>6.84</v>
      </c>
      <c r="Y34" s="89">
        <v>10.8</v>
      </c>
      <c r="Z34" s="95">
        <v>10.2</v>
      </c>
      <c r="AA34" s="91">
        <v>10.1</v>
      </c>
      <c r="AC34" s="92">
        <v>8</v>
      </c>
      <c r="AD34" s="90">
        <v>0.01</v>
      </c>
      <c r="AE34" s="96">
        <v>0</v>
      </c>
      <c r="AG34" s="45">
        <f t="shared" si="1"/>
        <v>23</v>
      </c>
      <c r="AI34" s="97"/>
      <c r="AJ34" s="55">
        <f t="shared" si="2"/>
      </c>
      <c r="AK34" s="97"/>
      <c r="AL34" s="55">
        <f t="shared" si="3"/>
      </c>
      <c r="AM34" s="97"/>
      <c r="AN34" s="55">
        <f t="shared" si="4"/>
      </c>
      <c r="AO34" s="109"/>
      <c r="AQ34" s="99"/>
      <c r="AR34" s="55">
        <f t="shared" si="5"/>
      </c>
      <c r="AS34" s="97"/>
      <c r="AT34" s="55">
        <f t="shared" si="6"/>
      </c>
      <c r="AU34" s="97"/>
      <c r="AV34" s="55">
        <f t="shared" si="7"/>
      </c>
      <c r="AX34" s="99">
        <v>31154</v>
      </c>
      <c r="AY34" s="100">
        <v>2</v>
      </c>
      <c r="AZ34" s="101">
        <v>2</v>
      </c>
      <c r="BA34" s="97">
        <v>21.7</v>
      </c>
      <c r="BB34" s="101">
        <v>27</v>
      </c>
      <c r="BC34" s="97">
        <v>12</v>
      </c>
      <c r="BD34" s="97"/>
      <c r="BE34" s="102"/>
      <c r="BG34" s="99">
        <v>12</v>
      </c>
      <c r="BH34" s="83" t="s">
        <v>210</v>
      </c>
      <c r="BI34" s="103" t="s">
        <v>211</v>
      </c>
      <c r="BK34" s="17"/>
      <c r="BL34" s="19"/>
      <c r="BM34" s="26" t="s">
        <v>86</v>
      </c>
      <c r="BN34" s="20"/>
      <c r="BO34" s="153" t="s">
        <v>131</v>
      </c>
      <c r="BP34" s="26"/>
      <c r="BQ34" s="159">
        <v>3.85</v>
      </c>
      <c r="BR34" s="155" t="s">
        <v>146</v>
      </c>
      <c r="BS34" s="155" t="s">
        <v>127</v>
      </c>
      <c r="BT34" s="104"/>
      <c r="BU34" s="237" t="s">
        <v>150</v>
      </c>
      <c r="BV34" s="237" t="s">
        <v>150</v>
      </c>
      <c r="BW34" s="237" t="s">
        <v>150</v>
      </c>
      <c r="BX34" s="237" t="s">
        <v>150</v>
      </c>
      <c r="BY34" s="104"/>
      <c r="BZ34" s="237" t="s">
        <v>150</v>
      </c>
      <c r="CA34" s="160" t="s">
        <v>24</v>
      </c>
      <c r="CB34" s="155" t="s">
        <v>25</v>
      </c>
      <c r="CC34" s="136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4">
        <v>2552543</v>
      </c>
      <c r="D35" s="137">
        <f t="shared" si="0"/>
        <v>2.136</v>
      </c>
      <c r="E35" s="139">
        <v>3.6</v>
      </c>
      <c r="F35" s="140">
        <v>0.4</v>
      </c>
      <c r="G35" s="81" t="str">
        <f t="shared" si="8"/>
        <v>0.00</v>
      </c>
      <c r="H35" s="84">
        <v>5000</v>
      </c>
      <c r="I35" s="85">
        <v>4750</v>
      </c>
      <c r="K35" s="86" t="s">
        <v>209</v>
      </c>
      <c r="L35" s="84">
        <v>25</v>
      </c>
      <c r="M35" s="87">
        <v>0</v>
      </c>
      <c r="O35" s="106"/>
      <c r="Q35" s="107"/>
      <c r="R35" s="152"/>
      <c r="S35" s="108"/>
      <c r="U35" s="92">
        <v>7.46</v>
      </c>
      <c r="V35" s="93">
        <v>7.29</v>
      </c>
      <c r="W35" s="94">
        <v>6.67</v>
      </c>
      <c r="Y35" s="89">
        <v>11.1</v>
      </c>
      <c r="Z35" s="95">
        <v>9.6</v>
      </c>
      <c r="AA35" s="91">
        <v>10.5</v>
      </c>
      <c r="AC35" s="92">
        <v>9</v>
      </c>
      <c r="AD35" s="90">
        <v>0.01</v>
      </c>
      <c r="AE35" s="96">
        <v>0</v>
      </c>
      <c r="AG35" s="45">
        <f t="shared" si="1"/>
        <v>24</v>
      </c>
      <c r="AI35" s="97"/>
      <c r="AJ35" s="55">
        <f t="shared" si="2"/>
      </c>
      <c r="AK35" s="97"/>
      <c r="AL35" s="55">
        <f t="shared" si="3"/>
      </c>
      <c r="AM35" s="97"/>
      <c r="AN35" s="55">
        <f t="shared" si="4"/>
      </c>
      <c r="AO35" s="109"/>
      <c r="AQ35" s="99"/>
      <c r="AR35" s="55">
        <f t="shared" si="5"/>
      </c>
      <c r="AS35" s="97"/>
      <c r="AT35" s="55">
        <f t="shared" si="6"/>
      </c>
      <c r="AU35" s="97"/>
      <c r="AV35" s="55">
        <f t="shared" si="7"/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2">
        <v>2554698</v>
      </c>
      <c r="D36" s="138">
        <f t="shared" si="0"/>
        <v>2.155</v>
      </c>
      <c r="E36" s="141">
        <v>4.5</v>
      </c>
      <c r="F36" s="142">
        <v>0.4</v>
      </c>
      <c r="G36" s="183" t="str">
        <f t="shared" si="8"/>
        <v>0.00</v>
      </c>
      <c r="H36" s="112">
        <v>7200</v>
      </c>
      <c r="I36" s="113">
        <v>4750</v>
      </c>
      <c r="K36" s="114" t="s">
        <v>209</v>
      </c>
      <c r="L36" s="112">
        <v>27</v>
      </c>
      <c r="M36" s="115">
        <v>0</v>
      </c>
      <c r="O36" s="116"/>
      <c r="Q36" s="107" t="s">
        <v>12</v>
      </c>
      <c r="R36" s="152" t="s">
        <v>12</v>
      </c>
      <c r="S36" s="108" t="s">
        <v>12</v>
      </c>
      <c r="U36" s="117">
        <v>7.36</v>
      </c>
      <c r="V36" s="118">
        <v>7.28</v>
      </c>
      <c r="W36" s="119">
        <v>6.25</v>
      </c>
      <c r="Y36" s="120">
        <v>10.6</v>
      </c>
      <c r="Z36" s="121">
        <v>11.1</v>
      </c>
      <c r="AA36" s="122">
        <v>11.3</v>
      </c>
      <c r="AC36" s="117">
        <v>6</v>
      </c>
      <c r="AD36" s="123">
        <v>0</v>
      </c>
      <c r="AE36" s="124">
        <v>0</v>
      </c>
      <c r="AG36" s="45">
        <f t="shared" si="1"/>
        <v>25</v>
      </c>
      <c r="AI36" s="125">
        <v>317</v>
      </c>
      <c r="AJ36" s="65">
        <f t="shared" si="2"/>
        <v>5697.3459</v>
      </c>
      <c r="AK36" s="125"/>
      <c r="AL36" s="65">
        <f t="shared" si="3"/>
      </c>
      <c r="AM36" s="125">
        <v>24</v>
      </c>
      <c r="AN36" s="65">
        <f t="shared" si="4"/>
        <v>431.34479999999996</v>
      </c>
      <c r="AO36" s="126">
        <v>18</v>
      </c>
      <c r="AQ36" s="127">
        <v>260</v>
      </c>
      <c r="AR36" s="65">
        <f t="shared" si="5"/>
        <v>4672.901999999999</v>
      </c>
      <c r="AS36" s="125"/>
      <c r="AT36" s="65">
        <f t="shared" si="6"/>
      </c>
      <c r="AU36" s="125">
        <v>31</v>
      </c>
      <c r="AV36" s="65">
        <f t="shared" si="7"/>
        <v>557.1537</v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4">
        <v>2557094</v>
      </c>
      <c r="D37" s="137">
        <f t="shared" si="0"/>
        <v>2.396</v>
      </c>
      <c r="E37" s="139">
        <v>3.6</v>
      </c>
      <c r="F37" s="140">
        <v>0.4</v>
      </c>
      <c r="G37" s="81" t="str">
        <f t="shared" si="8"/>
        <v>0.00</v>
      </c>
      <c r="H37" s="84">
        <v>2200</v>
      </c>
      <c r="I37" s="85">
        <v>2000</v>
      </c>
      <c r="K37" s="86" t="s">
        <v>209</v>
      </c>
      <c r="L37" s="84">
        <v>28</v>
      </c>
      <c r="M37" s="87">
        <v>0</v>
      </c>
      <c r="O37" s="106"/>
      <c r="Q37" s="107"/>
      <c r="R37" s="152"/>
      <c r="S37" s="108"/>
      <c r="U37" s="92">
        <v>7.49</v>
      </c>
      <c r="V37" s="93">
        <v>7.27</v>
      </c>
      <c r="W37" s="94">
        <v>6.12</v>
      </c>
      <c r="Y37" s="89">
        <v>10.9</v>
      </c>
      <c r="Z37" s="95">
        <v>10.2</v>
      </c>
      <c r="AA37" s="91">
        <v>10.1</v>
      </c>
      <c r="AC37" s="92">
        <v>7.5</v>
      </c>
      <c r="AD37" s="90">
        <v>0.01</v>
      </c>
      <c r="AE37" s="96">
        <v>0</v>
      </c>
      <c r="AG37" s="45">
        <f t="shared" si="1"/>
        <v>26</v>
      </c>
      <c r="AI37" s="97">
        <v>258</v>
      </c>
      <c r="AJ37" s="55">
        <f t="shared" si="2"/>
        <v>5155.52112</v>
      </c>
      <c r="AK37" s="97"/>
      <c r="AL37" s="55">
        <f t="shared" si="3"/>
      </c>
      <c r="AM37" s="97">
        <v>20</v>
      </c>
      <c r="AN37" s="55">
        <f t="shared" si="4"/>
        <v>399.6528</v>
      </c>
      <c r="AO37" s="109">
        <v>15</v>
      </c>
      <c r="AQ37" s="99">
        <v>224</v>
      </c>
      <c r="AR37" s="55">
        <f t="shared" si="5"/>
        <v>4476.11136</v>
      </c>
      <c r="AS37" s="97"/>
      <c r="AT37" s="55">
        <f t="shared" si="6"/>
      </c>
      <c r="AU37" s="97">
        <v>27</v>
      </c>
      <c r="AV37" s="55">
        <f t="shared" si="7"/>
        <v>539.5312799999999</v>
      </c>
      <c r="AX37" s="99">
        <v>30777</v>
      </c>
      <c r="AY37" s="100">
        <v>3</v>
      </c>
      <c r="AZ37" s="101">
        <v>2</v>
      </c>
      <c r="BA37" s="97">
        <v>21.7</v>
      </c>
      <c r="BB37" s="101">
        <v>28</v>
      </c>
      <c r="BC37" s="97">
        <v>12</v>
      </c>
      <c r="BD37" s="97"/>
      <c r="BE37" s="102"/>
      <c r="BG37" s="99">
        <v>12</v>
      </c>
      <c r="BH37" s="83" t="s">
        <v>210</v>
      </c>
      <c r="BI37" s="103" t="s">
        <v>211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4">
        <f>(IF(((SUM(AJ12:AJ42))=0)," ",(((AJ47-(D47*AO47*8.346))/AJ47)*100)))</f>
        <v>95.12907865248829</v>
      </c>
      <c r="CK37" s="345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4">
        <v>2559168</v>
      </c>
      <c r="D38" s="137">
        <f t="shared" si="0"/>
        <v>2.074</v>
      </c>
      <c r="E38" s="139">
        <v>4</v>
      </c>
      <c r="F38" s="140">
        <v>0.4</v>
      </c>
      <c r="G38" s="81" t="str">
        <f t="shared" si="8"/>
        <v>0.00</v>
      </c>
      <c r="H38" s="84">
        <v>0</v>
      </c>
      <c r="I38" s="85">
        <v>1750</v>
      </c>
      <c r="K38" s="86" t="s">
        <v>209</v>
      </c>
      <c r="L38" s="84">
        <v>30</v>
      </c>
      <c r="M38" s="87">
        <v>0</v>
      </c>
      <c r="O38" s="106"/>
      <c r="Q38" s="107" t="s">
        <v>10</v>
      </c>
      <c r="R38" s="152" t="s">
        <v>10</v>
      </c>
      <c r="S38" s="108" t="s">
        <v>10</v>
      </c>
      <c r="U38" s="92">
        <v>7.56</v>
      </c>
      <c r="V38" s="93">
        <v>7.3</v>
      </c>
      <c r="W38" s="94">
        <v>6.19</v>
      </c>
      <c r="Y38" s="89">
        <v>10.9</v>
      </c>
      <c r="Z38" s="95">
        <v>6.9</v>
      </c>
      <c r="AA38" s="91">
        <v>9.7</v>
      </c>
      <c r="AC38" s="92">
        <v>8.5</v>
      </c>
      <c r="AD38" s="90">
        <v>0.01</v>
      </c>
      <c r="AE38" s="96">
        <v>0</v>
      </c>
      <c r="AG38" s="45">
        <f t="shared" si="1"/>
        <v>27</v>
      </c>
      <c r="AI38" s="97">
        <v>305</v>
      </c>
      <c r="AJ38" s="55">
        <f t="shared" si="2"/>
        <v>5275.6338</v>
      </c>
      <c r="AK38" s="97">
        <v>184</v>
      </c>
      <c r="AL38" s="55">
        <f t="shared" si="3"/>
        <v>3182.67744</v>
      </c>
      <c r="AM38" s="97">
        <v>18</v>
      </c>
      <c r="AN38" s="55">
        <f t="shared" si="4"/>
        <v>311.34887999999995</v>
      </c>
      <c r="AO38" s="109">
        <v>13</v>
      </c>
      <c r="AQ38" s="99">
        <v>242</v>
      </c>
      <c r="AR38" s="55">
        <f t="shared" si="5"/>
        <v>4185.912719999999</v>
      </c>
      <c r="AS38" s="97">
        <v>81</v>
      </c>
      <c r="AT38" s="55">
        <f t="shared" si="6"/>
        <v>1401.06996</v>
      </c>
      <c r="AU38" s="97">
        <v>26</v>
      </c>
      <c r="AV38" s="55">
        <f t="shared" si="7"/>
        <v>449.72615999999994</v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38" t="s">
        <v>150</v>
      </c>
      <c r="BR38" s="238" t="s">
        <v>150</v>
      </c>
      <c r="BS38" s="238" t="s">
        <v>150</v>
      </c>
      <c r="BT38" s="104"/>
      <c r="BU38" s="145">
        <f>(AN49)</f>
        <v>93.2074906469558</v>
      </c>
      <c r="BV38" s="238" t="s">
        <v>150</v>
      </c>
      <c r="BW38" s="238" t="s">
        <v>150</v>
      </c>
      <c r="BX38" s="104" t="s">
        <v>129</v>
      </c>
      <c r="BY38" s="104"/>
      <c r="BZ38" s="104">
        <v>0</v>
      </c>
      <c r="CA38" s="144" t="s">
        <v>49</v>
      </c>
      <c r="CB38" s="104" t="s">
        <v>26</v>
      </c>
      <c r="CC38" s="136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4">
        <v>2561185</v>
      </c>
      <c r="D39" s="137">
        <f t="shared" si="0"/>
        <v>2.017</v>
      </c>
      <c r="E39" s="139">
        <v>3.8</v>
      </c>
      <c r="F39" s="140">
        <v>0.4</v>
      </c>
      <c r="G39" s="81" t="str">
        <f t="shared" si="8"/>
        <v>0.00</v>
      </c>
      <c r="H39" s="84">
        <v>1000</v>
      </c>
      <c r="I39" s="85">
        <v>0</v>
      </c>
      <c r="K39" s="86" t="s">
        <v>209</v>
      </c>
      <c r="L39" s="84">
        <v>34</v>
      </c>
      <c r="M39" s="87">
        <v>0</v>
      </c>
      <c r="O39" s="106"/>
      <c r="Q39" s="107"/>
      <c r="R39" s="152"/>
      <c r="S39" s="108"/>
      <c r="U39" s="92">
        <v>7.36</v>
      </c>
      <c r="V39" s="93">
        <v>7.28</v>
      </c>
      <c r="W39" s="94">
        <v>6.11</v>
      </c>
      <c r="Y39" s="89">
        <v>10.1</v>
      </c>
      <c r="Z39" s="95">
        <v>9.7</v>
      </c>
      <c r="AA39" s="91">
        <v>10.1</v>
      </c>
      <c r="AC39" s="92">
        <v>9</v>
      </c>
      <c r="AD39" s="90">
        <v>0.01</v>
      </c>
      <c r="AE39" s="96">
        <v>0</v>
      </c>
      <c r="AG39" s="45">
        <f t="shared" si="1"/>
        <v>28</v>
      </c>
      <c r="AI39" s="97"/>
      <c r="AJ39" s="55">
        <f t="shared" si="2"/>
      </c>
      <c r="AK39" s="97"/>
      <c r="AL39" s="55">
        <f t="shared" si="3"/>
      </c>
      <c r="AM39" s="97"/>
      <c r="AN39" s="55">
        <f t="shared" si="4"/>
      </c>
      <c r="AO39" s="109"/>
      <c r="AQ39" s="99"/>
      <c r="AR39" s="55">
        <f t="shared" si="5"/>
      </c>
      <c r="AS39" s="97"/>
      <c r="AT39" s="55">
        <f t="shared" si="6"/>
      </c>
      <c r="AU39" s="97"/>
      <c r="AV39" s="55">
        <f t="shared" si="7"/>
      </c>
      <c r="AX39" s="99"/>
      <c r="AY39" s="100"/>
      <c r="AZ39" s="101"/>
      <c r="BA39" s="97"/>
      <c r="BB39" s="101"/>
      <c r="BC39" s="97"/>
      <c r="BD39" s="97"/>
      <c r="BE39" s="102"/>
      <c r="BG39" s="99"/>
      <c r="BH39" s="83"/>
      <c r="BI39" s="103"/>
      <c r="BK39" s="17"/>
      <c r="BL39" s="19"/>
      <c r="BM39" s="26" t="s">
        <v>118</v>
      </c>
      <c r="BN39" s="20"/>
      <c r="BO39" s="153" t="s">
        <v>131</v>
      </c>
      <c r="BP39" s="26"/>
      <c r="BQ39" s="237" t="s">
        <v>150</v>
      </c>
      <c r="BR39" s="237" t="s">
        <v>150</v>
      </c>
      <c r="BS39" s="237" t="s">
        <v>150</v>
      </c>
      <c r="BT39" s="104"/>
      <c r="BU39" s="158">
        <v>85</v>
      </c>
      <c r="BV39" s="237" t="s">
        <v>150</v>
      </c>
      <c r="BW39" s="237" t="s">
        <v>150</v>
      </c>
      <c r="BX39" s="155" t="s">
        <v>129</v>
      </c>
      <c r="BY39" s="104"/>
      <c r="BZ39" s="237" t="s">
        <v>150</v>
      </c>
      <c r="CA39" s="157" t="s">
        <v>49</v>
      </c>
      <c r="CB39" s="155" t="s">
        <v>26</v>
      </c>
      <c r="CC39" s="136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3">
        <v>29</v>
      </c>
      <c r="C40" s="84">
        <v>2563207</v>
      </c>
      <c r="D40" s="137">
        <f t="shared" si="0"/>
        <v>2.022</v>
      </c>
      <c r="E40" s="139">
        <v>3.8</v>
      </c>
      <c r="F40" s="140">
        <v>0.4</v>
      </c>
      <c r="G40" s="81" t="str">
        <f t="shared" si="8"/>
        <v>0.00</v>
      </c>
      <c r="H40" s="84">
        <v>0</v>
      </c>
      <c r="I40" s="85">
        <v>0</v>
      </c>
      <c r="K40" s="86" t="s">
        <v>209</v>
      </c>
      <c r="L40" s="84">
        <v>34</v>
      </c>
      <c r="M40" s="87">
        <v>0</v>
      </c>
      <c r="O40" s="106"/>
      <c r="Q40" s="107" t="s">
        <v>15</v>
      </c>
      <c r="R40" s="152" t="s">
        <v>15</v>
      </c>
      <c r="S40" s="108" t="s">
        <v>15</v>
      </c>
      <c r="U40" s="92">
        <v>7.28</v>
      </c>
      <c r="V40" s="93">
        <v>7.27</v>
      </c>
      <c r="W40" s="94">
        <v>6.32</v>
      </c>
      <c r="Y40" s="89">
        <v>10.1</v>
      </c>
      <c r="Z40" s="95">
        <v>10</v>
      </c>
      <c r="AA40" s="91">
        <v>10.7</v>
      </c>
      <c r="AC40" s="92">
        <v>4.5</v>
      </c>
      <c r="AD40" s="90">
        <v>0.1</v>
      </c>
      <c r="AE40" s="96">
        <v>0</v>
      </c>
      <c r="AG40" s="45">
        <f t="shared" si="1"/>
        <v>29</v>
      </c>
      <c r="AI40" s="97"/>
      <c r="AJ40" s="55">
        <f t="shared" si="2"/>
      </c>
      <c r="AK40" s="97"/>
      <c r="AL40" s="55">
        <f t="shared" si="3"/>
      </c>
      <c r="AM40" s="97"/>
      <c r="AN40" s="55">
        <f t="shared" si="4"/>
      </c>
      <c r="AO40" s="109"/>
      <c r="AQ40" s="99"/>
      <c r="AR40" s="55">
        <f t="shared" si="5"/>
      </c>
      <c r="AS40" s="97"/>
      <c r="AT40" s="55">
        <f t="shared" si="6"/>
      </c>
      <c r="AU40" s="97"/>
      <c r="AV40" s="55">
        <f t="shared" si="7"/>
      </c>
      <c r="AX40" s="99"/>
      <c r="AY40" s="100"/>
      <c r="AZ40" s="101"/>
      <c r="BA40" s="97"/>
      <c r="BB40" s="101"/>
      <c r="BC40" s="97"/>
      <c r="BD40" s="97"/>
      <c r="BE40" s="102"/>
      <c r="BG40" s="99"/>
      <c r="BH40" s="83"/>
      <c r="BI40" s="103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3">
        <v>30</v>
      </c>
      <c r="C41" s="84"/>
      <c r="D41" s="137" t="str">
        <f t="shared" si="0"/>
        <v> </v>
      </c>
      <c r="E41" s="139"/>
      <c r="F41" s="140"/>
      <c r="G41" s="81" t="str">
        <f t="shared" si="8"/>
        <v> </v>
      </c>
      <c r="H41" s="84"/>
      <c r="I41" s="85"/>
      <c r="K41" s="86"/>
      <c r="L41" s="84"/>
      <c r="M41" s="87"/>
      <c r="O41" s="106"/>
      <c r="Q41" s="107"/>
      <c r="R41" s="152"/>
      <c r="S41" s="108"/>
      <c r="U41" s="92"/>
      <c r="V41" s="93"/>
      <c r="W41" s="94"/>
      <c r="Y41" s="89"/>
      <c r="Z41" s="95"/>
      <c r="AA41" s="91"/>
      <c r="AC41" s="92"/>
      <c r="AD41" s="90"/>
      <c r="AE41" s="96"/>
      <c r="AG41" s="45">
        <f t="shared" si="1"/>
        <v>30</v>
      </c>
      <c r="AI41" s="97"/>
      <c r="AJ41" s="55">
        <f t="shared" si="2"/>
      </c>
      <c r="AK41" s="97"/>
      <c r="AL41" s="55">
        <f t="shared" si="3"/>
      </c>
      <c r="AM41" s="97"/>
      <c r="AN41" s="55">
        <f t="shared" si="4"/>
      </c>
      <c r="AO41" s="109"/>
      <c r="AQ41" s="99"/>
      <c r="AR41" s="55">
        <f t="shared" si="5"/>
      </c>
      <c r="AS41" s="97"/>
      <c r="AT41" s="55">
        <f t="shared" si="6"/>
      </c>
      <c r="AU41" s="97"/>
      <c r="AV41" s="55">
        <f t="shared" si="7"/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3">
        <v>31</v>
      </c>
      <c r="C42" s="112"/>
      <c r="D42" s="138" t="str">
        <f t="shared" si="0"/>
        <v> </v>
      </c>
      <c r="E42" s="141"/>
      <c r="F42" s="142"/>
      <c r="G42" s="183" t="str">
        <f t="shared" si="8"/>
        <v> </v>
      </c>
      <c r="H42" s="112"/>
      <c r="I42" s="113"/>
      <c r="K42" s="114"/>
      <c r="L42" s="112"/>
      <c r="M42" s="115"/>
      <c r="O42" s="116"/>
      <c r="Q42" s="132"/>
      <c r="R42" s="111"/>
      <c r="S42" s="113"/>
      <c r="U42" s="133"/>
      <c r="V42" s="134"/>
      <c r="W42" s="135"/>
      <c r="Y42" s="132"/>
      <c r="Z42" s="112"/>
      <c r="AA42" s="113"/>
      <c r="AC42" s="133"/>
      <c r="AD42" s="111"/>
      <c r="AE42" s="115"/>
      <c r="AG42" s="45">
        <f t="shared" si="1"/>
        <v>31</v>
      </c>
      <c r="AI42" s="125"/>
      <c r="AJ42" s="65">
        <f t="shared" si="2"/>
      </c>
      <c r="AK42" s="125"/>
      <c r="AL42" s="65">
        <f t="shared" si="3"/>
      </c>
      <c r="AM42" s="125"/>
      <c r="AN42" s="65">
        <f t="shared" si="4"/>
      </c>
      <c r="AO42" s="126"/>
      <c r="AQ42" s="127"/>
      <c r="AR42" s="65">
        <f t="shared" si="5"/>
      </c>
      <c r="AS42" s="125"/>
      <c r="AT42" s="65">
        <f t="shared" si="6"/>
      </c>
      <c r="AU42" s="125"/>
      <c r="AV42" s="65">
        <f t="shared" si="7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8" t="s">
        <v>150</v>
      </c>
      <c r="BR43" s="238" t="s">
        <v>150</v>
      </c>
      <c r="BS43" s="238" t="s">
        <v>150</v>
      </c>
      <c r="BT43" s="104"/>
      <c r="BU43" s="145">
        <f>(AU49)</f>
        <v>89.58046767537827</v>
      </c>
      <c r="BV43" s="238" t="s">
        <v>150</v>
      </c>
      <c r="BW43" s="238" t="s">
        <v>150</v>
      </c>
      <c r="BX43" s="104" t="s">
        <v>129</v>
      </c>
      <c r="BY43" s="104"/>
      <c r="BZ43" s="104">
        <v>0</v>
      </c>
      <c r="CA43" s="144" t="s">
        <v>49</v>
      </c>
      <c r="CB43" s="104" t="s">
        <v>26</v>
      </c>
      <c r="CC43" s="136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8">
        <f>(IF(((SUM(C12:C42))=0)," ",((MAX(C12:C42))-C11)))</f>
        <v>64387</v>
      </c>
      <c r="D44" s="227">
        <f>(IF(((SUM(D12:D42))=0)," ",(SUM(D12:D42))))</f>
        <v>64.387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57350</v>
      </c>
      <c r="I44" s="195">
        <f>(IF(((SUM(I12:I42))=0)," ",(SUM(I12:I42))))</f>
        <v>126450</v>
      </c>
      <c r="K44" s="199" t="s">
        <v>150</v>
      </c>
      <c r="L44" s="200" t="s">
        <v>150</v>
      </c>
      <c r="M44" s="201">
        <f>(IF(((SUM(M12:M42))=0)," ",(SUM(M11:M42))))</f>
        <v>1.54</v>
      </c>
      <c r="O44" s="202">
        <f>(IF(((SUM(O12:O42))=0),"0.0",(SUM(O11:O42))))</f>
        <v>5</v>
      </c>
      <c r="Q44" s="198" t="str">
        <f>(IF(((SUM(Q12:Q42))=0),"0",(SUM(Q11:Q42))))</f>
        <v>0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386697</v>
      </c>
      <c r="AY44" s="200" t="s">
        <v>150</v>
      </c>
      <c r="AZ44" s="211">
        <f>(IF(((SUM(AZ12:AZ42))=0)," ",(SUM(AZ12:AZ42))))</f>
        <v>26.5</v>
      </c>
      <c r="BA44" s="198">
        <f>(IF(((SUM(BA12:BA42))=0)," ",(SUM(BA12:BA42))))</f>
        <v>266.59999999999997</v>
      </c>
      <c r="BB44" s="206" t="s">
        <v>150</v>
      </c>
      <c r="BC44" s="198">
        <f>(IF(((SUM(BC12:BC42))=0)," ",(SUM(BC12:BC42))))</f>
        <v>156</v>
      </c>
      <c r="BD44" s="188" t="str">
        <f>(IF(((SUM(BD12:BD42))=0)," ",(SUM(BD12:BD42))))</f>
        <v> </v>
      </c>
      <c r="BE44" s="209" t="s">
        <v>150</v>
      </c>
      <c r="BG44" s="212">
        <f>(IF(((SUM(BG12:BG42))=0)," ",(SUM(BG12:BG42))))</f>
        <v>156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37" t="s">
        <v>150</v>
      </c>
      <c r="BR44" s="237" t="s">
        <v>150</v>
      </c>
      <c r="BS44" s="237" t="s">
        <v>150</v>
      </c>
      <c r="BT44" s="104"/>
      <c r="BU44" s="158">
        <v>85</v>
      </c>
      <c r="BV44" s="237" t="s">
        <v>150</v>
      </c>
      <c r="BW44" s="237" t="s">
        <v>150</v>
      </c>
      <c r="BX44" s="155" t="s">
        <v>129</v>
      </c>
      <c r="BY44" s="104"/>
      <c r="BZ44" s="237" t="s">
        <v>150</v>
      </c>
      <c r="CA44" s="157" t="s">
        <v>49</v>
      </c>
      <c r="CB44" s="155" t="s">
        <v>26</v>
      </c>
      <c r="CC44" s="136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2.937</v>
      </c>
      <c r="E45" s="215">
        <f>(IF((SUM(E12:E42))=0," ",(MAX(E12:E42))))</f>
        <v>4.8</v>
      </c>
      <c r="F45" s="216">
        <f>(IF((SUM(F12:F42))=0," ",(MAX(F12:F42))))</f>
        <v>1</v>
      </c>
      <c r="G45" s="215">
        <f>(MAX(G12:G42))</f>
        <v>0</v>
      </c>
      <c r="H45" s="161">
        <f>(IF((SUM(H12:H42))=0," ",(MAX(H12:H42))))</f>
        <v>7200</v>
      </c>
      <c r="I45" s="162">
        <f>(IF((SUM(I12:I42))=0," ",(MAX(I12:I42))))</f>
        <v>10000</v>
      </c>
      <c r="K45" s="179" t="s">
        <v>150</v>
      </c>
      <c r="L45" s="182">
        <f>(IF((SUM(L12:L42))=0," ",(MAX(L12:L42))))</f>
        <v>36</v>
      </c>
      <c r="M45" s="218">
        <f>(IF((SUM(M12:M42))=0," ",(MAX(M12:M42))))</f>
        <v>0.57</v>
      </c>
      <c r="O45" s="219" t="s">
        <v>150</v>
      </c>
      <c r="Q45" s="220" t="s">
        <v>150</v>
      </c>
      <c r="R45" s="232" t="str">
        <f>(IF(((SUM(R12:R42))=0),"-",(MAX(R12:R42))))</f>
        <v>-</v>
      </c>
      <c r="S45" s="233" t="str">
        <f>(IF(((SUM(S12:S42))=0),"-",(MAX(S12:S42))))</f>
        <v>-</v>
      </c>
      <c r="U45" s="221">
        <f>(IF((SUM(U12:U42))=0," ",(MAX(U12:U42))))</f>
        <v>7.61</v>
      </c>
      <c r="V45" s="182">
        <f>(IF((SUM(V12:V42))=0," ",(MAX(V12:V42))))</f>
        <v>7.34</v>
      </c>
      <c r="W45" s="222">
        <f>(IF((SUM(W12:W42))=0," ",(MAX(W12:W42))))</f>
        <v>7.26</v>
      </c>
      <c r="Y45" s="217">
        <f>(IF((SUM(Y12:Y42))=0," ",(MAX(Y12:Y42))))</f>
        <v>11.1</v>
      </c>
      <c r="Z45" s="161">
        <f>(IF((SUM(Z12:Z42))=0," ",(MAX(Z12:Z42))))</f>
        <v>11.1</v>
      </c>
      <c r="AA45" s="162">
        <f>(IF((SUM(AA12:AA42))=0," ",(MAX(AA12:AA42))))</f>
        <v>11.3</v>
      </c>
      <c r="AC45" s="221">
        <f>(IF((SUM(AC12:AC42))=0," ",(MAX(AC12:AC42))))</f>
        <v>9</v>
      </c>
      <c r="AD45" s="183">
        <f>(IF((SUM(AD12:AD42))=0," ",(MAX(AD12:AD42))))</f>
        <v>0.1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360</v>
      </c>
      <c r="AJ45" s="161">
        <f t="shared" si="9"/>
        <v>6551.2368</v>
      </c>
      <c r="AK45" s="217">
        <f t="shared" si="9"/>
        <v>190</v>
      </c>
      <c r="AL45" s="162">
        <f t="shared" si="9"/>
        <v>3601.7541</v>
      </c>
      <c r="AM45" s="217">
        <f t="shared" si="9"/>
        <v>24</v>
      </c>
      <c r="AN45" s="162">
        <f t="shared" si="9"/>
        <v>431.34479999999996</v>
      </c>
      <c r="AO45" s="223">
        <f t="shared" si="9"/>
        <v>18</v>
      </c>
      <c r="AQ45" s="217">
        <f aca="true" t="shared" si="10" ref="AQ45:AV45">(IF((SUM(AQ12:AQ42))=0," ",(MAX(AQ12:AQ42))))</f>
        <v>308</v>
      </c>
      <c r="AR45" s="162">
        <f t="shared" si="10"/>
        <v>5604.947039999999</v>
      </c>
      <c r="AS45" s="217">
        <f t="shared" si="10"/>
        <v>108</v>
      </c>
      <c r="AT45" s="162">
        <f t="shared" si="10"/>
        <v>2058.1452000000004</v>
      </c>
      <c r="AU45" s="217">
        <f t="shared" si="10"/>
        <v>31</v>
      </c>
      <c r="AV45" s="162">
        <f t="shared" si="10"/>
        <v>564.13428</v>
      </c>
      <c r="AX45" s="220" t="s">
        <v>150</v>
      </c>
      <c r="AY45" s="182">
        <f>(IF((SUM(AY12:AY42))=0," ",(MAX(AY12:AY42))))</f>
        <v>3</v>
      </c>
      <c r="AZ45" s="224" t="s">
        <v>150</v>
      </c>
      <c r="BA45" s="220" t="s">
        <v>150</v>
      </c>
      <c r="BB45" s="222">
        <f>(IF((SUM(BB12:BB42))=0," ",(MAX(BB12:BB42))))</f>
        <v>29</v>
      </c>
      <c r="BC45" s="220" t="s">
        <v>150</v>
      </c>
      <c r="BD45" s="178" t="s">
        <v>150</v>
      </c>
      <c r="BE45" s="218" t="str">
        <f>(IF((SUM(BE12:BE42))=0," ",(MAX(BE12:BE42))))</f>
        <v> </v>
      </c>
      <c r="BG45" s="225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1.872</v>
      </c>
      <c r="E46" s="226">
        <f>(IF((SUM(E12:E42))=0," ",(MIN(E12:E42))))</f>
        <v>3.4</v>
      </c>
      <c r="F46" s="227">
        <f>(IF((SUM(F12:F42))=0," ",(MIN(F12:F42))))</f>
        <v>0.4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11</v>
      </c>
      <c r="M46" s="201">
        <f>(IF((SUM(M12:M42))=0," ",(MIN(M12:M42))))</f>
        <v>0</v>
      </c>
      <c r="O46" s="228" t="s">
        <v>150</v>
      </c>
      <c r="Q46" s="207" t="s">
        <v>150</v>
      </c>
      <c r="R46" s="203" t="str">
        <f>(IF(((SUM(R12:R42))=0),"-",(MIN(R12:R42))))</f>
        <v>-</v>
      </c>
      <c r="S46" s="204" t="str">
        <f>(IF(((SUM(S12:S42))=0),"-",(MIN(S12:S42))))</f>
        <v>-</v>
      </c>
      <c r="U46" s="229">
        <f>(IF((SUM(U12:U42))=0," ",(MIN(U12:U42))))</f>
        <v>6.95</v>
      </c>
      <c r="V46" s="191">
        <f>(IF((SUM(V12:V42))=0," ",(MIN(V12:V42))))</f>
        <v>7.12</v>
      </c>
      <c r="W46" s="211">
        <f>(IF((SUM(W12:W42))=0," ",(MIN(W12:W42))))</f>
        <v>5.97</v>
      </c>
      <c r="Y46" s="198">
        <f aca="true" t="shared" si="11" ref="Y46:AD46">(IF((SUM(Y12:Y42))=0," ",(MIN(Y12:Y42))))</f>
        <v>9.7</v>
      </c>
      <c r="Z46" s="188">
        <f t="shared" si="11"/>
        <v>6.9</v>
      </c>
      <c r="AA46" s="195">
        <f t="shared" si="11"/>
        <v>7.5</v>
      </c>
      <c r="AB46" t="str">
        <f t="shared" si="11"/>
        <v> </v>
      </c>
      <c r="AC46" s="229">
        <f t="shared" si="11"/>
        <v>1.5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237</v>
      </c>
      <c r="AJ46" s="188">
        <f t="shared" si="12"/>
        <v>4751.6983199999995</v>
      </c>
      <c r="AK46" s="198">
        <f t="shared" si="12"/>
        <v>184</v>
      </c>
      <c r="AL46" s="195">
        <f t="shared" si="12"/>
        <v>3182.67744</v>
      </c>
      <c r="AM46" s="198">
        <f t="shared" si="12"/>
        <v>15</v>
      </c>
      <c r="AN46" s="195">
        <f t="shared" si="12"/>
        <v>298.73879999999997</v>
      </c>
      <c r="AO46" s="230">
        <f t="shared" si="12"/>
        <v>11</v>
      </c>
      <c r="AQ46" s="198">
        <f aca="true" t="shared" si="13" ref="AQ46:AV46">(IF((SUM(AQ12:AQ42))=0," ",(MIN(AQ12:AQ42))))</f>
        <v>142</v>
      </c>
      <c r="AR46" s="195">
        <f t="shared" si="13"/>
        <v>2847.0091199999997</v>
      </c>
      <c r="AS46" s="198">
        <f t="shared" si="13"/>
        <v>80</v>
      </c>
      <c r="AT46" s="195">
        <f t="shared" si="13"/>
        <v>1401.06996</v>
      </c>
      <c r="AU46" s="198">
        <f t="shared" si="13"/>
        <v>18</v>
      </c>
      <c r="AV46" s="195">
        <f t="shared" si="13"/>
        <v>358.48655999999994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26</v>
      </c>
      <c r="BC46" s="207" t="s">
        <v>150</v>
      </c>
      <c r="BD46" s="208" t="s">
        <v>150</v>
      </c>
      <c r="BE46" s="201" t="str">
        <f>(IF((SUM(BE12:BE42))=0," ",(MIN(BE12:BE42))))</f>
        <v> </v>
      </c>
      <c r="BG46" s="231" t="s">
        <v>150</v>
      </c>
      <c r="BH46" s="213" t="s">
        <v>150</v>
      </c>
      <c r="BI46" s="214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2.220241379310345</v>
      </c>
      <c r="E47" s="215">
        <f>(IF((SUM(E12:E42))=0," ",(AVERAGE(E12:E42))))</f>
        <v>3.8827586206896543</v>
      </c>
      <c r="F47" s="216">
        <f>(IF((SUM(F12:F42))=0," ",(AVERAGE(F12:F42))))</f>
        <v>0.5000000000000001</v>
      </c>
      <c r="G47" s="215" t="str">
        <f>(IF((SUM(G12:G42))=0,"0.000",(AVERAGE(G12:G42))))</f>
        <v>0.000</v>
      </c>
      <c r="H47" s="161">
        <f>(IF((SUM(H12:H42))=0," ",(AVERAGE(H12:H42))))</f>
        <v>1977.5862068965516</v>
      </c>
      <c r="I47" s="162">
        <f>(IF((SUM(I12:I42))=0," ",(AVERAGE(I12:I42))))</f>
        <v>4360.3448275862065</v>
      </c>
      <c r="K47" s="179" t="s">
        <v>150</v>
      </c>
      <c r="L47" s="182">
        <f>(IF((SUM(L12:L42))=0," ",(AVERAGE(L12:L42))))</f>
        <v>26.06896551724138</v>
      </c>
      <c r="M47" s="218">
        <f>(IF((SUM(M12:M42))=0," ",(AVERAGE(M12:M42))))</f>
        <v>0.05310344827586207</v>
      </c>
      <c r="O47" s="219" t="s">
        <v>150</v>
      </c>
      <c r="Q47" s="217" t="str">
        <f>(IF((SUM(Q12:Q42))=0," ",(AVERAGE(Q12:Q42))))</f>
        <v> </v>
      </c>
      <c r="R47" s="232" t="s">
        <v>150</v>
      </c>
      <c r="S47" s="233" t="s">
        <v>150</v>
      </c>
      <c r="U47" s="221">
        <f>(IF((SUM(U12:U42))=0," ",(AVERAGE(U12:U42))))</f>
        <v>7.294482758620691</v>
      </c>
      <c r="V47" s="182">
        <f>(IF((SUM(V12:V42))=0," ",(AVERAGE(V12:V42))))</f>
        <v>7.203448275862071</v>
      </c>
      <c r="W47" s="222">
        <f>(IF((SUM(W12:W42))=0," ",(AVERAGE(W12:W42))))</f>
        <v>6.428275862068965</v>
      </c>
      <c r="Y47" s="217">
        <f>(IF((SUM(Y12:Y42))=0," ",(AVERAGE(Y12:Y42))))</f>
        <v>10.534482758620692</v>
      </c>
      <c r="Z47" s="161">
        <f>(IF((SUM(Z12:Z42))=0," ",(AVERAGE(Z12:Z42))))</f>
        <v>9.765517241379309</v>
      </c>
      <c r="AA47" s="162">
        <f>(IF((SUM(AA12:AA42))=0," ",(AVERAGE(AA12:AA42))))</f>
        <v>9.820689655172414</v>
      </c>
      <c r="AC47" s="221">
        <f>(IF((SUM(AC12:AC42))=0," ",(AVERAGE(AC12:AC42))))</f>
        <v>5.741379310344827</v>
      </c>
      <c r="AD47" s="183">
        <f>(IF((SUM(AD12:AD42))=0," ",(AVERAGE(AD12:AD42))))</f>
        <v>0.017931034482758627</v>
      </c>
      <c r="AE47" s="218">
        <f>(IF((COUNT(AE12:AE42))=0," ",(AVERAGE(AE12:AE42))))</f>
        <v>0.0013793103448275863</v>
      </c>
      <c r="AG47" s="26" t="str">
        <f>($A47)</f>
        <v>Average</v>
      </c>
      <c r="AI47" s="161">
        <f aca="true" t="shared" si="14" ref="AI47:AO47">(IF((SUM(AI12:AI42))=0," ",(AVERAGE(AI12:AI42))))</f>
        <v>290</v>
      </c>
      <c r="AJ47" s="161">
        <f t="shared" si="14"/>
        <v>5484.440294999999</v>
      </c>
      <c r="AK47" s="217">
        <f t="shared" si="14"/>
        <v>187.66666666666666</v>
      </c>
      <c r="AL47" s="162">
        <f t="shared" si="14"/>
        <v>3414.00958</v>
      </c>
      <c r="AM47" s="217">
        <f t="shared" si="14"/>
        <v>19.666666666666668</v>
      </c>
      <c r="AN47" s="162">
        <f t="shared" si="14"/>
        <v>372.53111999999993</v>
      </c>
      <c r="AO47" s="223">
        <f t="shared" si="14"/>
        <v>14.416666666666666</v>
      </c>
      <c r="AQ47" s="217">
        <f aca="true" t="shared" si="15" ref="AQ47:AV47">(IF((SUM(AQ12:AQ42))=0," ",(AVERAGE(AQ12:AQ42))))</f>
        <v>242.33333333333334</v>
      </c>
      <c r="AR47" s="162">
        <f t="shared" si="15"/>
        <v>4587.36279</v>
      </c>
      <c r="AS47" s="217">
        <f t="shared" si="15"/>
        <v>89.66666666666667</v>
      </c>
      <c r="AT47" s="162">
        <f t="shared" si="15"/>
        <v>1638.3485200000002</v>
      </c>
      <c r="AU47" s="217">
        <f t="shared" si="15"/>
        <v>25.25</v>
      </c>
      <c r="AV47" s="162">
        <f t="shared" si="15"/>
        <v>477.12584</v>
      </c>
      <c r="AX47" s="217">
        <f aca="true" t="shared" si="16" ref="AX47:BE47">(IF((SUM(AX12:AX42))=0," ",(AVERAGE(AX12:AX42))))</f>
        <v>48337.125</v>
      </c>
      <c r="AY47" s="182">
        <f t="shared" si="16"/>
        <v>2.625</v>
      </c>
      <c r="AZ47" s="222">
        <f t="shared" si="16"/>
        <v>3.3125</v>
      </c>
      <c r="BA47" s="217">
        <f t="shared" si="16"/>
        <v>33.324999999999996</v>
      </c>
      <c r="BB47" s="222">
        <f t="shared" si="16"/>
        <v>27.5</v>
      </c>
      <c r="BC47" s="217">
        <f t="shared" si="16"/>
        <v>19.5</v>
      </c>
      <c r="BD47" s="161" t="str">
        <f t="shared" si="16"/>
        <v> </v>
      </c>
      <c r="BE47" s="218" t="str">
        <f t="shared" si="16"/>
        <v> </v>
      </c>
      <c r="BG47" s="132">
        <f>(IF((SUM(BG12:BG42))=0," ",(AVERAGE(BG12:BG42))))</f>
        <v>17.333333333333332</v>
      </c>
      <c r="BH47" s="180" t="s">
        <v>150</v>
      </c>
      <c r="BI47" s="181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41" t="str">
        <f>(IF(((SUM(S12:S42))=0),"-",(GEOMEAN(S12:S42))))</f>
        <v>-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93.2074906469558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89.58046767537827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4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82"/>
      <c r="BM53" s="281"/>
      <c r="BN53" s="282"/>
      <c r="BO53" s="281"/>
      <c r="BP53" s="282"/>
      <c r="BQ53" s="281"/>
      <c r="BR53" s="281"/>
      <c r="BS53" s="281"/>
      <c r="BT53" s="282"/>
      <c r="BU53" s="281"/>
      <c r="BV53" s="281"/>
      <c r="BW53" s="281"/>
      <c r="BX53" s="281"/>
      <c r="BY53" s="282"/>
      <c r="BZ53" s="281"/>
      <c r="CA53" s="281"/>
      <c r="CB53" s="281"/>
      <c r="CC53" s="282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4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82"/>
      <c r="BM54" s="281"/>
      <c r="BN54" s="282"/>
      <c r="BO54" s="281"/>
      <c r="BP54" s="282"/>
      <c r="BQ54" s="281"/>
      <c r="BR54" s="281"/>
      <c r="BS54" s="281"/>
      <c r="BT54" s="282"/>
      <c r="BU54" s="281"/>
      <c r="BV54" s="281"/>
      <c r="BW54" s="281"/>
      <c r="BX54" s="281"/>
      <c r="BY54" s="282"/>
      <c r="BZ54" s="281"/>
      <c r="CA54" s="281"/>
      <c r="CB54" s="281"/>
      <c r="CC54" s="282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4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4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4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4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4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4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paperSize="3" scale="80" r:id="rId1"/>
  <colBreaks count="2" manualBreakCount="2">
    <brk id="32" max="50" man="1"/>
    <brk id="62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193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March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March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0">
        <v>2563207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4">
        <v>2565254</v>
      </c>
      <c r="D12" s="137">
        <f aca="true" t="shared" si="0" ref="D12:D42">(IF(C12=0," ",((C12-C11)/1000)))</f>
        <v>2.047</v>
      </c>
      <c r="E12" s="139">
        <v>4.2</v>
      </c>
      <c r="F12" s="140">
        <v>0.4</v>
      </c>
      <c r="G12" s="81" t="str">
        <f>(IF(C12=0," ","0.00"))</f>
        <v>0.00</v>
      </c>
      <c r="H12" s="84">
        <v>6600</v>
      </c>
      <c r="I12" s="85">
        <v>5000</v>
      </c>
      <c r="K12" s="86" t="s">
        <v>209</v>
      </c>
      <c r="L12" s="84">
        <v>36</v>
      </c>
      <c r="M12" s="87">
        <v>0</v>
      </c>
      <c r="O12" s="88"/>
      <c r="Q12" s="89"/>
      <c r="R12" s="90"/>
      <c r="S12" s="91"/>
      <c r="U12" s="92">
        <v>7.37</v>
      </c>
      <c r="V12" s="93">
        <v>7.17</v>
      </c>
      <c r="W12" s="94">
        <v>6.51</v>
      </c>
      <c r="Y12" s="89">
        <v>11.1</v>
      </c>
      <c r="Z12" s="95">
        <v>10.9</v>
      </c>
      <c r="AA12" s="91">
        <v>11.4</v>
      </c>
      <c r="AC12" s="92">
        <v>9</v>
      </c>
      <c r="AD12" s="90">
        <v>0.01</v>
      </c>
      <c r="AE12" s="96">
        <v>0</v>
      </c>
      <c r="AG12" s="45">
        <f aca="true" t="shared" si="1" ref="AG12:AG42">($A12)</f>
        <v>1</v>
      </c>
      <c r="AH12" s="281"/>
      <c r="AI12" s="97"/>
      <c r="AJ12" s="55">
        <f aca="true" t="shared" si="2" ref="AJ12:AJ42">IF(AI12=0,"",(D12*AI12*8.34))</f>
      </c>
      <c r="AK12" s="97"/>
      <c r="AL12" s="55">
        <f aca="true" t="shared" si="3" ref="AL12:AL42">IF(AK12=0,"",(D12*AK12*8.34))</f>
      </c>
      <c r="AM12" s="97"/>
      <c r="AN12" s="55">
        <f aca="true" t="shared" si="4" ref="AN12:AN42">IF(AM12=0,"",(D12*AM12*8.34))</f>
      </c>
      <c r="AO12" s="98"/>
      <c r="AQ12" s="99"/>
      <c r="AR12" s="55">
        <f aca="true" t="shared" si="5" ref="AR12:AR42">IF(AQ12=0,"",(D12*AQ12*8.34))</f>
      </c>
      <c r="AS12" s="97"/>
      <c r="AT12" s="55">
        <f aca="true" t="shared" si="6" ref="AT12:AT42">IF(AS12=0,"",(D12*AS12*8.34))</f>
      </c>
      <c r="AU12" s="97"/>
      <c r="AV12" s="55">
        <f aca="true" t="shared" si="7" ref="AV12:AV42">IF(AU12=0,"",(D12*AU12*8.34))</f>
      </c>
      <c r="AX12" s="99">
        <v>55493</v>
      </c>
      <c r="AY12" s="100">
        <v>3</v>
      </c>
      <c r="AZ12" s="101">
        <v>4.25</v>
      </c>
      <c r="BA12" s="97">
        <v>37.2</v>
      </c>
      <c r="BB12" s="101">
        <v>26</v>
      </c>
      <c r="BC12" s="97">
        <v>24</v>
      </c>
      <c r="BD12" s="97"/>
      <c r="BE12" s="102"/>
      <c r="BG12" s="99">
        <v>12</v>
      </c>
      <c r="BH12" s="83" t="s">
        <v>215</v>
      </c>
      <c r="BI12" s="103" t="s">
        <v>216</v>
      </c>
      <c r="BK12" s="17"/>
      <c r="BL12" s="19"/>
      <c r="BM12" s="56" t="s">
        <v>117</v>
      </c>
      <c r="BN12" s="20"/>
      <c r="BO12" s="57" t="s">
        <v>130</v>
      </c>
      <c r="BP12" s="26"/>
      <c r="BQ12" s="149">
        <f>(IF(((SUM(AN12:AN42))=0)," ",(AVERAGE(AN12:AN42))))</f>
        <v>330.08885999999995</v>
      </c>
      <c r="BR12" s="149">
        <f>MAX(AN12:AN42)</f>
        <v>427.74192</v>
      </c>
      <c r="BS12" s="104" t="s">
        <v>126</v>
      </c>
      <c r="BT12" s="104"/>
      <c r="BU12" s="149">
        <f>(IF(((SUM(AM12:AM42))=0)," ",(AVERAGE(AM12:AM42))))</f>
        <v>18.615384615384617</v>
      </c>
      <c r="BV12" s="143">
        <f>(CG23)</f>
        <v>20.333333333333332</v>
      </c>
      <c r="BW12" s="149">
        <f>MAX(AM12:AM42)</f>
        <v>24</v>
      </c>
      <c r="BX12" s="104" t="s">
        <v>128</v>
      </c>
      <c r="BY12" s="104"/>
      <c r="BZ12" s="104">
        <v>0</v>
      </c>
      <c r="CA12" s="144" t="s">
        <v>47</v>
      </c>
      <c r="CB12" s="104">
        <v>24</v>
      </c>
      <c r="CC12" s="136"/>
      <c r="CE12" s="24"/>
      <c r="CF12" s="20" t="s">
        <v>138</v>
      </c>
      <c r="CG12" s="105">
        <f>(IF(((SUM(AM14:AM16))=0)," ",(AVERAGE(AM14:AM16))))</f>
        <v>20.333333333333332</v>
      </c>
      <c r="CH12" s="105">
        <f>(IF(((SUM(AN14:AN16))=0)," ",(AVERAGE(AN14:AN16))))</f>
        <v>373.77934000000005</v>
      </c>
      <c r="CI12" s="105"/>
      <c r="CJ12" s="105">
        <f>(IF(((SUM(AU14:AU16))=0)," ",(AVERAGE(AU14:AU16))))</f>
        <v>32</v>
      </c>
      <c r="CK12" s="105">
        <f>(IF(((SUM(AV14:AV16))=0)," ",(AVERAGE(AV14:AV16))))</f>
        <v>589.8826399999999</v>
      </c>
      <c r="CL12" s="239"/>
      <c r="CM12" s="151">
        <f>(AVERAGE(AE12:AE19))</f>
        <v>0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4">
        <v>2567414</v>
      </c>
      <c r="D13" s="137">
        <f t="shared" si="0"/>
        <v>2.16</v>
      </c>
      <c r="E13" s="139">
        <v>3.6</v>
      </c>
      <c r="F13" s="140">
        <v>0.4</v>
      </c>
      <c r="G13" s="81" t="str">
        <f aca="true" t="shared" si="8" ref="G13:G42">(IF(C13=0," ","0.00"))</f>
        <v>0.00</v>
      </c>
      <c r="H13" s="84">
        <v>3700</v>
      </c>
      <c r="I13" s="85">
        <v>3500</v>
      </c>
      <c r="K13" s="86" t="s">
        <v>208</v>
      </c>
      <c r="L13" s="84">
        <v>40</v>
      </c>
      <c r="M13" s="87">
        <v>0.01</v>
      </c>
      <c r="O13" s="106"/>
      <c r="Q13" s="107"/>
      <c r="R13" s="152"/>
      <c r="S13" s="108"/>
      <c r="U13" s="92">
        <v>7.27</v>
      </c>
      <c r="V13" s="93">
        <v>7.14</v>
      </c>
      <c r="W13" s="94">
        <v>6.76</v>
      </c>
      <c r="Y13" s="89">
        <v>10.7</v>
      </c>
      <c r="Z13" s="95">
        <v>10.7</v>
      </c>
      <c r="AA13" s="91">
        <v>11.4</v>
      </c>
      <c r="AC13" s="92">
        <v>8</v>
      </c>
      <c r="AD13" s="90">
        <v>0</v>
      </c>
      <c r="AE13" s="96">
        <v>0</v>
      </c>
      <c r="AG13" s="45">
        <f t="shared" si="1"/>
        <v>2</v>
      </c>
      <c r="AH13" s="281"/>
      <c r="AI13" s="97"/>
      <c r="AJ13" s="55">
        <f t="shared" si="2"/>
      </c>
      <c r="AK13" s="97"/>
      <c r="AL13" s="55">
        <f t="shared" si="3"/>
      </c>
      <c r="AM13" s="97"/>
      <c r="AN13" s="55">
        <f t="shared" si="4"/>
      </c>
      <c r="AO13" s="109"/>
      <c r="AQ13" s="99"/>
      <c r="AR13" s="55">
        <f t="shared" si="5"/>
      </c>
      <c r="AS13" s="97"/>
      <c r="AT13" s="55">
        <f t="shared" si="6"/>
      </c>
      <c r="AU13" s="97"/>
      <c r="AV13" s="55">
        <f t="shared" si="7"/>
      </c>
      <c r="AX13" s="99"/>
      <c r="AY13" s="100"/>
      <c r="AZ13" s="101"/>
      <c r="BA13" s="97"/>
      <c r="BB13" s="101"/>
      <c r="BC13" s="97"/>
      <c r="BD13" s="97"/>
      <c r="BE13" s="102"/>
      <c r="BG13" s="99">
        <v>12</v>
      </c>
      <c r="BH13" s="83" t="s">
        <v>215</v>
      </c>
      <c r="BI13" s="103" t="s">
        <v>216</v>
      </c>
      <c r="BK13" s="17"/>
      <c r="BL13" s="19"/>
      <c r="BM13" s="26" t="s">
        <v>86</v>
      </c>
      <c r="BN13" s="20"/>
      <c r="BO13" s="153" t="s">
        <v>131</v>
      </c>
      <c r="BP13" s="26"/>
      <c r="BQ13" s="236">
        <v>963</v>
      </c>
      <c r="BR13" s="236">
        <v>1605</v>
      </c>
      <c r="BS13" s="155" t="s">
        <v>126</v>
      </c>
      <c r="BT13" s="104"/>
      <c r="BU13" s="236">
        <v>30</v>
      </c>
      <c r="BV13" s="156">
        <v>45</v>
      </c>
      <c r="BW13" s="236">
        <v>50</v>
      </c>
      <c r="BX13" s="155" t="s">
        <v>128</v>
      </c>
      <c r="BY13" s="104"/>
      <c r="BZ13" s="237" t="s">
        <v>150</v>
      </c>
      <c r="CA13" s="157" t="s">
        <v>47</v>
      </c>
      <c r="CB13" s="155">
        <v>24</v>
      </c>
      <c r="CC13" s="136"/>
      <c r="CE13" s="24"/>
      <c r="CF13" s="20"/>
      <c r="CG13" s="105"/>
      <c r="CH13" s="105"/>
      <c r="CI13" s="105"/>
      <c r="CJ13" s="105"/>
      <c r="CK13" s="105"/>
      <c r="CL13" s="239"/>
      <c r="CM13" s="151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4">
        <v>2569499</v>
      </c>
      <c r="D14" s="137">
        <f t="shared" si="0"/>
        <v>2.085</v>
      </c>
      <c r="E14" s="139">
        <v>4</v>
      </c>
      <c r="F14" s="140">
        <v>0.4</v>
      </c>
      <c r="G14" s="81" t="str">
        <f t="shared" si="8"/>
        <v>0.00</v>
      </c>
      <c r="H14" s="84">
        <v>1500</v>
      </c>
      <c r="I14" s="85">
        <v>3000</v>
      </c>
      <c r="K14" s="86" t="s">
        <v>209</v>
      </c>
      <c r="L14" s="84">
        <v>42</v>
      </c>
      <c r="M14" s="87">
        <v>0</v>
      </c>
      <c r="O14" s="106"/>
      <c r="Q14" s="107" t="s">
        <v>10</v>
      </c>
      <c r="R14" s="152" t="s">
        <v>10</v>
      </c>
      <c r="S14" s="108" t="s">
        <v>10</v>
      </c>
      <c r="U14" s="92">
        <v>7.21</v>
      </c>
      <c r="V14" s="93">
        <v>7.15</v>
      </c>
      <c r="W14" s="94">
        <v>6.28</v>
      </c>
      <c r="Y14" s="89">
        <v>10.8</v>
      </c>
      <c r="Z14" s="95">
        <v>10.7</v>
      </c>
      <c r="AA14" s="91">
        <v>11.5</v>
      </c>
      <c r="AC14" s="92">
        <v>5</v>
      </c>
      <c r="AD14" s="90">
        <v>0</v>
      </c>
      <c r="AE14" s="96">
        <v>0</v>
      </c>
      <c r="AG14" s="45">
        <f t="shared" si="1"/>
        <v>3</v>
      </c>
      <c r="AH14" s="281"/>
      <c r="AI14" s="97">
        <v>317</v>
      </c>
      <c r="AJ14" s="55">
        <f t="shared" si="2"/>
        <v>5512.2813</v>
      </c>
      <c r="AK14" s="97"/>
      <c r="AL14" s="55">
        <f t="shared" si="3"/>
      </c>
      <c r="AM14" s="97">
        <v>20</v>
      </c>
      <c r="AN14" s="55">
        <f t="shared" si="4"/>
        <v>347.778</v>
      </c>
      <c r="AO14" s="109">
        <v>15</v>
      </c>
      <c r="AQ14" s="99">
        <v>300</v>
      </c>
      <c r="AR14" s="55">
        <f t="shared" si="5"/>
        <v>5216.67</v>
      </c>
      <c r="AS14" s="97"/>
      <c r="AT14" s="55">
        <f t="shared" si="6"/>
      </c>
      <c r="AU14" s="97">
        <v>25</v>
      </c>
      <c r="AV14" s="55">
        <f t="shared" si="7"/>
        <v>434.72249999999997</v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(IF(((SUM(AM21:AM23))=0)," ",(AVERAGE(AM21:AM23))))</f>
        <v>19.333333333333332</v>
      </c>
      <c r="CH14" s="105">
        <f>(IF(((SUM(AN21:AN23))=0)," ",(AVERAGE(AN21:AN23))))</f>
        <v>343.81371999999993</v>
      </c>
      <c r="CI14" s="105"/>
      <c r="CJ14" s="105">
        <f>(IF(((SUM(AU21:AU23))=0)," ",(AVERAGE(AU21:AU23))))</f>
        <v>23.333333333333332</v>
      </c>
      <c r="CK14" s="105">
        <f>(IF(((SUM(AV21:AV23))=0)," ",(AVERAGE(AV21:AV23))))</f>
        <v>414.8594</v>
      </c>
      <c r="CL14" s="239"/>
      <c r="CM14" s="151">
        <f>(AVERAGE(AE20:AE26))</f>
        <v>0.0014285714285714286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4">
        <v>2571860</v>
      </c>
      <c r="D15" s="137">
        <f t="shared" si="0"/>
        <v>2.361</v>
      </c>
      <c r="E15" s="139">
        <v>4</v>
      </c>
      <c r="F15" s="140">
        <v>0.4</v>
      </c>
      <c r="G15" s="81" t="str">
        <f t="shared" si="8"/>
        <v>0.00</v>
      </c>
      <c r="H15" s="84">
        <v>1750</v>
      </c>
      <c r="I15" s="85">
        <v>8500</v>
      </c>
      <c r="K15" s="86" t="s">
        <v>209</v>
      </c>
      <c r="L15" s="84">
        <v>38</v>
      </c>
      <c r="M15" s="87">
        <v>0</v>
      </c>
      <c r="O15" s="106"/>
      <c r="Q15" s="107"/>
      <c r="R15" s="152"/>
      <c r="S15" s="108"/>
      <c r="U15" s="92">
        <v>7.28</v>
      </c>
      <c r="V15" s="93">
        <v>7.16</v>
      </c>
      <c r="W15" s="94">
        <v>6.43</v>
      </c>
      <c r="Y15" s="89">
        <v>10.9</v>
      </c>
      <c r="Z15" s="95">
        <v>10.3</v>
      </c>
      <c r="AA15" s="91">
        <v>10.9</v>
      </c>
      <c r="AC15" s="92">
        <v>4</v>
      </c>
      <c r="AD15" s="90">
        <v>0.01</v>
      </c>
      <c r="AE15" s="96">
        <v>0</v>
      </c>
      <c r="AG15" s="45">
        <f t="shared" si="1"/>
        <v>4</v>
      </c>
      <c r="AH15" s="281"/>
      <c r="AI15" s="97">
        <v>297</v>
      </c>
      <c r="AJ15" s="55">
        <f t="shared" si="2"/>
        <v>5848.149780000001</v>
      </c>
      <c r="AK15" s="97"/>
      <c r="AL15" s="55">
        <f t="shared" si="3"/>
      </c>
      <c r="AM15" s="97">
        <v>18</v>
      </c>
      <c r="AN15" s="55">
        <f t="shared" si="4"/>
        <v>354.43332000000004</v>
      </c>
      <c r="AO15" s="109">
        <v>13</v>
      </c>
      <c r="AQ15" s="99">
        <v>240</v>
      </c>
      <c r="AR15" s="55">
        <f t="shared" si="5"/>
        <v>4725.7776</v>
      </c>
      <c r="AS15" s="97"/>
      <c r="AT15" s="55">
        <f t="shared" si="6"/>
      </c>
      <c r="AU15" s="97">
        <v>28</v>
      </c>
      <c r="AV15" s="55">
        <f t="shared" si="7"/>
        <v>551.34072</v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105"/>
      <c r="CH15" s="105"/>
      <c r="CI15" s="105"/>
      <c r="CJ15" s="105"/>
      <c r="CK15" s="105"/>
      <c r="CL15" s="239"/>
      <c r="CM15" s="151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2">
        <v>2574045</v>
      </c>
      <c r="D16" s="138">
        <f t="shared" si="0"/>
        <v>2.185</v>
      </c>
      <c r="E16" s="141">
        <v>4</v>
      </c>
      <c r="F16" s="142">
        <v>0.4</v>
      </c>
      <c r="G16" s="183" t="str">
        <f t="shared" si="8"/>
        <v>0.00</v>
      </c>
      <c r="H16" s="112">
        <v>4000</v>
      </c>
      <c r="I16" s="113">
        <v>5750</v>
      </c>
      <c r="K16" s="114" t="s">
        <v>209</v>
      </c>
      <c r="L16" s="112">
        <v>37</v>
      </c>
      <c r="M16" s="115">
        <v>0.24</v>
      </c>
      <c r="O16" s="116"/>
      <c r="Q16" s="107" t="s">
        <v>4</v>
      </c>
      <c r="R16" s="152" t="s">
        <v>4</v>
      </c>
      <c r="S16" s="108" t="s">
        <v>4</v>
      </c>
      <c r="U16" s="117">
        <v>7.24</v>
      </c>
      <c r="V16" s="118">
        <v>6.7</v>
      </c>
      <c r="W16" s="119">
        <v>6.61</v>
      </c>
      <c r="Y16" s="120">
        <v>10.8</v>
      </c>
      <c r="Z16" s="121">
        <v>10.6</v>
      </c>
      <c r="AA16" s="122">
        <v>11</v>
      </c>
      <c r="AC16" s="117">
        <v>7</v>
      </c>
      <c r="AD16" s="123">
        <v>0.1</v>
      </c>
      <c r="AE16" s="124">
        <v>0</v>
      </c>
      <c r="AG16" s="45">
        <f t="shared" si="1"/>
        <v>5</v>
      </c>
      <c r="AH16" s="281" t="s">
        <v>218</v>
      </c>
      <c r="AI16" s="125">
        <v>342</v>
      </c>
      <c r="AJ16" s="65">
        <f t="shared" si="2"/>
        <v>6232.2318</v>
      </c>
      <c r="AK16" s="125">
        <v>236</v>
      </c>
      <c r="AL16" s="65">
        <f t="shared" si="3"/>
        <v>4300.604399999999</v>
      </c>
      <c r="AM16" s="125">
        <v>23</v>
      </c>
      <c r="AN16" s="65">
        <f t="shared" si="4"/>
        <v>419.1267</v>
      </c>
      <c r="AO16" s="126">
        <v>17</v>
      </c>
      <c r="AQ16" s="127">
        <v>286</v>
      </c>
      <c r="AR16" s="65">
        <f t="shared" si="5"/>
        <v>5211.7494</v>
      </c>
      <c r="AS16" s="125">
        <v>106</v>
      </c>
      <c r="AT16" s="65">
        <f t="shared" si="6"/>
        <v>1931.6274</v>
      </c>
      <c r="AU16" s="125">
        <v>43</v>
      </c>
      <c r="AV16" s="65">
        <f t="shared" si="7"/>
        <v>783.5847</v>
      </c>
      <c r="AX16" s="127">
        <v>56440</v>
      </c>
      <c r="AY16" s="128">
        <v>4</v>
      </c>
      <c r="AZ16" s="129">
        <v>3.75</v>
      </c>
      <c r="BA16" s="125">
        <v>34.1</v>
      </c>
      <c r="BB16" s="129">
        <v>29</v>
      </c>
      <c r="BC16" s="125">
        <v>24</v>
      </c>
      <c r="BD16" s="125"/>
      <c r="BE16" s="130"/>
      <c r="BG16" s="127">
        <v>24</v>
      </c>
      <c r="BH16" s="110" t="s">
        <v>217</v>
      </c>
      <c r="BI16" s="131" t="s">
        <v>216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(IF(((SUM(AM28:AM30))=0)," ",(AVERAGE(AM28:AM30))))</f>
        <v>18.333333333333332</v>
      </c>
      <c r="CH16" s="105">
        <f>(IF(((SUM(AN28:AN30))=0)," ",(AVERAGE(AN28:AN30))))</f>
        <v>319.34138</v>
      </c>
      <c r="CI16" s="105"/>
      <c r="CJ16" s="105">
        <f>(IF(((SUM(AU28:AU30))=0)," ",(AVERAGE(AU28:AU30))))</f>
        <v>24.333333333333332</v>
      </c>
      <c r="CK16" s="105">
        <f>(IF(((SUM(AV28:AV30))=0)," ",(AVERAGE(AV28:AV30))))</f>
        <v>423.14936000000006</v>
      </c>
      <c r="CL16" s="239"/>
      <c r="CM16" s="151">
        <f>(AVERAGE(AE27:AE33))</f>
        <v>0.0014285714285714286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4">
        <v>2576310</v>
      </c>
      <c r="D17" s="137">
        <f t="shared" si="0"/>
        <v>2.265</v>
      </c>
      <c r="E17" s="139">
        <v>3.8</v>
      </c>
      <c r="F17" s="140">
        <v>0.4</v>
      </c>
      <c r="G17" s="81" t="str">
        <f t="shared" si="8"/>
        <v>0.00</v>
      </c>
      <c r="H17" s="84">
        <v>1600</v>
      </c>
      <c r="I17" s="85">
        <v>2000</v>
      </c>
      <c r="K17" s="86" t="s">
        <v>213</v>
      </c>
      <c r="L17" s="84">
        <v>41</v>
      </c>
      <c r="M17" s="87">
        <v>0.02</v>
      </c>
      <c r="O17" s="106"/>
      <c r="Q17" s="107"/>
      <c r="R17" s="152"/>
      <c r="S17" s="108"/>
      <c r="U17" s="92">
        <v>7.28</v>
      </c>
      <c r="V17" s="93">
        <v>6.96</v>
      </c>
      <c r="W17" s="94">
        <v>6.68</v>
      </c>
      <c r="Y17" s="89">
        <v>10.9</v>
      </c>
      <c r="Z17" s="95">
        <v>10.6</v>
      </c>
      <c r="AA17" s="91">
        <v>11.2</v>
      </c>
      <c r="AC17" s="92">
        <v>6.5</v>
      </c>
      <c r="AD17" s="90">
        <v>0.01</v>
      </c>
      <c r="AE17" s="96">
        <v>0</v>
      </c>
      <c r="AG17" s="45">
        <f t="shared" si="1"/>
        <v>6</v>
      </c>
      <c r="AH17" s="281"/>
      <c r="AI17" s="97"/>
      <c r="AJ17" s="55">
        <f t="shared" si="2"/>
      </c>
      <c r="AK17" s="97"/>
      <c r="AL17" s="55">
        <f t="shared" si="3"/>
      </c>
      <c r="AM17" s="97"/>
      <c r="AN17" s="55">
        <f t="shared" si="4"/>
      </c>
      <c r="AO17" s="109"/>
      <c r="AQ17" s="99"/>
      <c r="AR17" s="55">
        <f t="shared" si="5"/>
      </c>
      <c r="AS17" s="97"/>
      <c r="AT17" s="55">
        <f t="shared" si="6"/>
      </c>
      <c r="AU17" s="97"/>
      <c r="AV17" s="55">
        <f t="shared" si="7"/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38" t="s">
        <v>150</v>
      </c>
      <c r="BR17" s="238" t="s">
        <v>150</v>
      </c>
      <c r="BS17" s="238" t="s">
        <v>150</v>
      </c>
      <c r="BT17" s="104"/>
      <c r="BU17" s="145">
        <f>MIN(W12:W42)</f>
        <v>6.02</v>
      </c>
      <c r="BV17" s="238" t="s">
        <v>150</v>
      </c>
      <c r="BW17" s="145">
        <f>MAX(W12:W42)</f>
        <v>8.21</v>
      </c>
      <c r="BX17" s="104" t="s">
        <v>43</v>
      </c>
      <c r="BY17" s="104"/>
      <c r="BZ17" s="104">
        <v>0</v>
      </c>
      <c r="CA17" s="144" t="s">
        <v>48</v>
      </c>
      <c r="CB17" s="104" t="s">
        <v>23</v>
      </c>
      <c r="CC17" s="136"/>
      <c r="CE17" s="69"/>
      <c r="CF17" s="20"/>
      <c r="CG17" s="105"/>
      <c r="CH17" s="105"/>
      <c r="CI17" s="105"/>
      <c r="CJ17" s="105"/>
      <c r="CK17" s="105"/>
      <c r="CL17" s="240"/>
      <c r="CM17" s="151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4">
        <v>2578407</v>
      </c>
      <c r="D18" s="137">
        <f t="shared" si="0"/>
        <v>2.097</v>
      </c>
      <c r="E18" s="139">
        <v>4.4</v>
      </c>
      <c r="F18" s="140">
        <v>1</v>
      </c>
      <c r="G18" s="81" t="str">
        <f t="shared" si="8"/>
        <v>0.00</v>
      </c>
      <c r="H18" s="84">
        <v>0</v>
      </c>
      <c r="I18" s="85">
        <v>0</v>
      </c>
      <c r="K18" s="86" t="s">
        <v>209</v>
      </c>
      <c r="L18" s="84">
        <v>35</v>
      </c>
      <c r="M18" s="87">
        <v>0</v>
      </c>
      <c r="O18" s="106"/>
      <c r="Q18" s="107" t="s">
        <v>4</v>
      </c>
      <c r="R18" s="152" t="s">
        <v>4</v>
      </c>
      <c r="S18" s="108" t="s">
        <v>4</v>
      </c>
      <c r="U18" s="92">
        <v>7.11</v>
      </c>
      <c r="V18" s="93">
        <v>7.24</v>
      </c>
      <c r="W18" s="94">
        <v>6.56</v>
      </c>
      <c r="Y18" s="89">
        <v>10.3</v>
      </c>
      <c r="Z18" s="95">
        <v>10</v>
      </c>
      <c r="AA18" s="91">
        <v>10.3</v>
      </c>
      <c r="AC18" s="92">
        <v>3</v>
      </c>
      <c r="AD18" s="90">
        <v>0.01</v>
      </c>
      <c r="AE18" s="96">
        <v>0</v>
      </c>
      <c r="AG18" s="45">
        <f t="shared" si="1"/>
        <v>7</v>
      </c>
      <c r="AH18" s="281"/>
      <c r="AI18" s="97"/>
      <c r="AJ18" s="55">
        <f t="shared" si="2"/>
      </c>
      <c r="AK18" s="97"/>
      <c r="AL18" s="55">
        <f t="shared" si="3"/>
      </c>
      <c r="AM18" s="97"/>
      <c r="AN18" s="55">
        <f t="shared" si="4"/>
      </c>
      <c r="AO18" s="109"/>
      <c r="AQ18" s="99"/>
      <c r="AR18" s="55">
        <f t="shared" si="5"/>
      </c>
      <c r="AS18" s="97"/>
      <c r="AT18" s="55">
        <f t="shared" si="6"/>
      </c>
      <c r="AU18" s="97"/>
      <c r="AV18" s="55">
        <f t="shared" si="7"/>
      </c>
      <c r="AX18" s="99"/>
      <c r="AY18" s="100"/>
      <c r="AZ18" s="101"/>
      <c r="BA18" s="97"/>
      <c r="BB18" s="101"/>
      <c r="BC18" s="97"/>
      <c r="BD18" s="97"/>
      <c r="BE18" s="102"/>
      <c r="BG18" s="99"/>
      <c r="BH18" s="83"/>
      <c r="BI18" s="103"/>
      <c r="BK18" s="17"/>
      <c r="BL18" s="19"/>
      <c r="BM18" s="26" t="s">
        <v>86</v>
      </c>
      <c r="BN18" s="20"/>
      <c r="BO18" s="153" t="s">
        <v>131</v>
      </c>
      <c r="BP18" s="26"/>
      <c r="BQ18" s="237" t="s">
        <v>150</v>
      </c>
      <c r="BR18" s="237" t="s">
        <v>150</v>
      </c>
      <c r="BS18" s="237" t="s">
        <v>150</v>
      </c>
      <c r="BT18" s="104"/>
      <c r="BU18" s="158">
        <v>6</v>
      </c>
      <c r="BV18" s="237" t="s">
        <v>150</v>
      </c>
      <c r="BW18" s="155">
        <v>8.5</v>
      </c>
      <c r="BX18" s="155" t="s">
        <v>43</v>
      </c>
      <c r="BY18" s="104"/>
      <c r="BZ18" s="237" t="s">
        <v>150</v>
      </c>
      <c r="CA18" s="157" t="s">
        <v>48</v>
      </c>
      <c r="CB18" s="155" t="s">
        <v>23</v>
      </c>
      <c r="CC18" s="136"/>
      <c r="CE18" s="69"/>
      <c r="CF18" s="20" t="s">
        <v>141</v>
      </c>
      <c r="CG18" s="105">
        <f>(IF(((SUM(AM35:AM37))=0)," ",(AVERAGE(AM35:AM37))))</f>
        <v>16.666666666666668</v>
      </c>
      <c r="CH18" s="105">
        <f>(IF(((SUM(AN35:AN37))=0)," ",(AVERAGE(AN35:AN37))))</f>
        <v>281.2109</v>
      </c>
      <c r="CI18" s="105"/>
      <c r="CJ18" s="105">
        <f>(IF(((SUM(AU35:AU37))=0)," ",(AVERAGE(AU35:AU37))))</f>
        <v>27.666666666666668</v>
      </c>
      <c r="CK18" s="105">
        <f>(IF(((SUM(AV35:AV37))=0)," ",(AVERAGE(AV35:AV37))))</f>
        <v>466.54238000000004</v>
      </c>
      <c r="CL18" s="240"/>
      <c r="CM18" s="151">
        <f>(AVERAGE(AE34:AE40))</f>
        <v>0.0014285714285714286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4">
        <v>2580531</v>
      </c>
      <c r="D19" s="137">
        <f t="shared" si="0"/>
        <v>2.124</v>
      </c>
      <c r="E19" s="139">
        <v>3.6</v>
      </c>
      <c r="F19" s="140">
        <v>0.4</v>
      </c>
      <c r="G19" s="81" t="str">
        <f t="shared" si="8"/>
        <v>0.00</v>
      </c>
      <c r="H19" s="84">
        <v>5500</v>
      </c>
      <c r="I19" s="85">
        <v>0</v>
      </c>
      <c r="K19" s="86" t="s">
        <v>208</v>
      </c>
      <c r="L19" s="84">
        <v>30</v>
      </c>
      <c r="M19" s="87">
        <v>0</v>
      </c>
      <c r="O19" s="106"/>
      <c r="Q19" s="107"/>
      <c r="R19" s="152"/>
      <c r="S19" s="108"/>
      <c r="U19" s="92">
        <v>7.38</v>
      </c>
      <c r="V19" s="93">
        <v>7.25</v>
      </c>
      <c r="W19" s="94">
        <v>6.71</v>
      </c>
      <c r="Y19" s="89">
        <v>10.2</v>
      </c>
      <c r="Z19" s="95">
        <v>10.3</v>
      </c>
      <c r="AA19" s="91">
        <v>10.4</v>
      </c>
      <c r="AC19" s="92">
        <v>6</v>
      </c>
      <c r="AD19" s="90">
        <v>0.01</v>
      </c>
      <c r="AE19" s="96">
        <v>0</v>
      </c>
      <c r="AG19" s="45">
        <f t="shared" si="1"/>
        <v>8</v>
      </c>
      <c r="AH19" s="281"/>
      <c r="AI19" s="97"/>
      <c r="AJ19" s="55">
        <f t="shared" si="2"/>
      </c>
      <c r="AK19" s="97"/>
      <c r="AL19" s="55">
        <f t="shared" si="3"/>
      </c>
      <c r="AM19" s="97"/>
      <c r="AN19" s="55">
        <f t="shared" si="4"/>
      </c>
      <c r="AO19" s="109"/>
      <c r="AQ19" s="99"/>
      <c r="AR19" s="55">
        <f t="shared" si="5"/>
      </c>
      <c r="AS19" s="97"/>
      <c r="AT19" s="55">
        <f t="shared" si="6"/>
      </c>
      <c r="AU19" s="97"/>
      <c r="AV19" s="55">
        <f t="shared" si="7"/>
      </c>
      <c r="AX19" s="99">
        <v>47942</v>
      </c>
      <c r="AY19" s="100">
        <v>3</v>
      </c>
      <c r="AZ19" s="101">
        <v>3.75</v>
      </c>
      <c r="BA19" s="97">
        <v>34.1</v>
      </c>
      <c r="BB19" s="101">
        <v>27</v>
      </c>
      <c r="BC19" s="97">
        <v>24</v>
      </c>
      <c r="BD19" s="97"/>
      <c r="BE19" s="102"/>
      <c r="BG19" s="99">
        <v>24</v>
      </c>
      <c r="BH19" s="83" t="s">
        <v>215</v>
      </c>
      <c r="BI19" s="103" t="s">
        <v>216</v>
      </c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5"/>
      <c r="CH19" s="105"/>
      <c r="CI19" s="105"/>
      <c r="CJ19" s="105"/>
      <c r="CK19" s="105"/>
      <c r="CL19" s="240"/>
      <c r="CM19" s="151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4">
        <v>2582651</v>
      </c>
      <c r="D20" s="137">
        <f t="shared" si="0"/>
        <v>2.12</v>
      </c>
      <c r="E20" s="139">
        <v>4</v>
      </c>
      <c r="F20" s="140">
        <v>0.4</v>
      </c>
      <c r="G20" s="81" t="str">
        <f t="shared" si="8"/>
        <v>0.00</v>
      </c>
      <c r="H20" s="84">
        <v>5900</v>
      </c>
      <c r="I20" s="85">
        <v>5500</v>
      </c>
      <c r="K20" s="86" t="s">
        <v>208</v>
      </c>
      <c r="L20" s="84">
        <v>28</v>
      </c>
      <c r="M20" s="87">
        <v>0</v>
      </c>
      <c r="O20" s="106">
        <v>4</v>
      </c>
      <c r="Q20" s="107"/>
      <c r="R20" s="152"/>
      <c r="S20" s="108"/>
      <c r="U20" s="92">
        <v>7.38</v>
      </c>
      <c r="V20" s="93">
        <v>7.19</v>
      </c>
      <c r="W20" s="94">
        <v>6.75</v>
      </c>
      <c r="Y20" s="89">
        <v>10.5</v>
      </c>
      <c r="Z20" s="95">
        <v>10</v>
      </c>
      <c r="AA20" s="91">
        <v>10</v>
      </c>
      <c r="AC20" s="92">
        <v>10</v>
      </c>
      <c r="AD20" s="90">
        <v>0.01</v>
      </c>
      <c r="AE20" s="96">
        <v>0</v>
      </c>
      <c r="AG20" s="45">
        <f t="shared" si="1"/>
        <v>9</v>
      </c>
      <c r="AH20" s="281"/>
      <c r="AI20" s="97"/>
      <c r="AJ20" s="55">
        <f t="shared" si="2"/>
      </c>
      <c r="AK20" s="97"/>
      <c r="AL20" s="55">
        <f t="shared" si="3"/>
      </c>
      <c r="AM20" s="97"/>
      <c r="AN20" s="55">
        <f t="shared" si="4"/>
      </c>
      <c r="AO20" s="109"/>
      <c r="AQ20" s="99"/>
      <c r="AR20" s="55">
        <f t="shared" si="5"/>
      </c>
      <c r="AS20" s="97"/>
      <c r="AT20" s="55">
        <f t="shared" si="6"/>
      </c>
      <c r="AU20" s="97"/>
      <c r="AV20" s="55">
        <f t="shared" si="7"/>
      </c>
      <c r="AX20" s="99"/>
      <c r="AY20" s="100"/>
      <c r="AZ20" s="101"/>
      <c r="BA20" s="97"/>
      <c r="BB20" s="101"/>
      <c r="BC20" s="97"/>
      <c r="BD20" s="97"/>
      <c r="BE20" s="102"/>
      <c r="BG20" s="99"/>
      <c r="BH20" s="83"/>
      <c r="BI20" s="103"/>
      <c r="CE20" s="69"/>
      <c r="CF20" s="20" t="s">
        <v>142</v>
      </c>
      <c r="CG20" s="105"/>
      <c r="CH20" s="105"/>
      <c r="CI20" s="105"/>
      <c r="CJ20" s="105"/>
      <c r="CK20" s="105"/>
      <c r="CL20" s="240"/>
      <c r="CM20" s="151"/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2">
        <v>2584788</v>
      </c>
      <c r="D21" s="138">
        <f t="shared" si="0"/>
        <v>2.137</v>
      </c>
      <c r="E21" s="141">
        <v>3.8</v>
      </c>
      <c r="F21" s="142">
        <v>0.4</v>
      </c>
      <c r="G21" s="183" t="str">
        <f t="shared" si="8"/>
        <v>0.00</v>
      </c>
      <c r="H21" s="112">
        <v>1800</v>
      </c>
      <c r="I21" s="113">
        <v>2000</v>
      </c>
      <c r="K21" s="114" t="s">
        <v>209</v>
      </c>
      <c r="L21" s="112">
        <v>33</v>
      </c>
      <c r="M21" s="115">
        <v>0</v>
      </c>
      <c r="O21" s="116"/>
      <c r="Q21" s="107"/>
      <c r="R21" s="152"/>
      <c r="S21" s="108"/>
      <c r="U21" s="117">
        <v>7.45</v>
      </c>
      <c r="V21" s="118">
        <v>7.21</v>
      </c>
      <c r="W21" s="119">
        <v>6.95</v>
      </c>
      <c r="Y21" s="120">
        <v>10.3</v>
      </c>
      <c r="Z21" s="121">
        <v>10.3</v>
      </c>
      <c r="AA21" s="122">
        <v>10.8</v>
      </c>
      <c r="AC21" s="117">
        <v>5</v>
      </c>
      <c r="AD21" s="123">
        <v>0.01</v>
      </c>
      <c r="AE21" s="124">
        <v>0</v>
      </c>
      <c r="AG21" s="45">
        <f t="shared" si="1"/>
        <v>10</v>
      </c>
      <c r="AH21" s="281"/>
      <c r="AI21" s="125">
        <v>345</v>
      </c>
      <c r="AJ21" s="65">
        <f t="shared" si="2"/>
        <v>6148.7901</v>
      </c>
      <c r="AK21" s="125"/>
      <c r="AL21" s="65">
        <f t="shared" si="3"/>
      </c>
      <c r="AM21" s="125">
        <v>24</v>
      </c>
      <c r="AN21" s="65">
        <f t="shared" si="4"/>
        <v>427.74192</v>
      </c>
      <c r="AO21" s="126">
        <v>22</v>
      </c>
      <c r="AQ21" s="127">
        <v>206</v>
      </c>
      <c r="AR21" s="65">
        <f t="shared" si="5"/>
        <v>3671.4514799999997</v>
      </c>
      <c r="AS21" s="125"/>
      <c r="AT21" s="65">
        <f t="shared" si="6"/>
      </c>
      <c r="AU21" s="125">
        <v>25</v>
      </c>
      <c r="AV21" s="65">
        <f t="shared" si="7"/>
        <v>445.56449999999995</v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4">
        <v>2586917</v>
      </c>
      <c r="D22" s="137">
        <f t="shared" si="0"/>
        <v>2.129</v>
      </c>
      <c r="E22" s="139">
        <v>3.6</v>
      </c>
      <c r="F22" s="140">
        <v>0.4</v>
      </c>
      <c r="G22" s="81" t="str">
        <f t="shared" si="8"/>
        <v>0.00</v>
      </c>
      <c r="H22" s="84">
        <v>1000</v>
      </c>
      <c r="I22" s="85">
        <v>5800</v>
      </c>
      <c r="K22" s="86" t="s">
        <v>208</v>
      </c>
      <c r="L22" s="84">
        <v>36</v>
      </c>
      <c r="M22" s="87">
        <v>0</v>
      </c>
      <c r="O22" s="106"/>
      <c r="Q22" s="107" t="s">
        <v>4</v>
      </c>
      <c r="R22" s="152" t="s">
        <v>4</v>
      </c>
      <c r="S22" s="108" t="s">
        <v>4</v>
      </c>
      <c r="U22" s="92">
        <v>7.32</v>
      </c>
      <c r="V22" s="93">
        <v>7.24</v>
      </c>
      <c r="W22" s="94">
        <v>6.76</v>
      </c>
      <c r="Y22" s="89">
        <v>11.6</v>
      </c>
      <c r="Z22" s="95">
        <v>10.9</v>
      </c>
      <c r="AA22" s="91">
        <v>10.9</v>
      </c>
      <c r="AC22" s="92">
        <v>8</v>
      </c>
      <c r="AD22" s="90">
        <v>0.01</v>
      </c>
      <c r="AE22" s="96">
        <v>0</v>
      </c>
      <c r="AG22" s="45">
        <f t="shared" si="1"/>
        <v>11</v>
      </c>
      <c r="AH22" s="281"/>
      <c r="AI22" s="97">
        <v>319</v>
      </c>
      <c r="AJ22" s="55">
        <f t="shared" si="2"/>
        <v>5664.119339999999</v>
      </c>
      <c r="AK22" s="97"/>
      <c r="AL22" s="55">
        <f t="shared" si="3"/>
      </c>
      <c r="AM22" s="97">
        <v>18</v>
      </c>
      <c r="AN22" s="55">
        <f t="shared" si="4"/>
        <v>319.60548</v>
      </c>
      <c r="AO22" s="109">
        <v>15</v>
      </c>
      <c r="AQ22" s="99">
        <v>290</v>
      </c>
      <c r="AR22" s="55">
        <f t="shared" si="5"/>
        <v>5149.1993999999995</v>
      </c>
      <c r="AS22" s="97"/>
      <c r="AT22" s="55">
        <f t="shared" si="6"/>
      </c>
      <c r="AU22" s="97">
        <v>20</v>
      </c>
      <c r="AV22" s="55">
        <f t="shared" si="7"/>
        <v>355.11719999999997</v>
      </c>
      <c r="AX22" s="99">
        <v>31739</v>
      </c>
      <c r="AY22" s="100">
        <v>3</v>
      </c>
      <c r="AZ22" s="101">
        <v>2.5</v>
      </c>
      <c r="BA22" s="97">
        <v>21.7</v>
      </c>
      <c r="BB22" s="101">
        <v>27</v>
      </c>
      <c r="BC22" s="97">
        <v>12</v>
      </c>
      <c r="BD22" s="97"/>
      <c r="BE22" s="102"/>
      <c r="BG22" s="99">
        <v>12</v>
      </c>
      <c r="BH22" s="83" t="s">
        <v>215</v>
      </c>
      <c r="BI22" s="103" t="s">
        <v>216</v>
      </c>
      <c r="BK22" s="17"/>
      <c r="BL22" s="19"/>
      <c r="BM22" s="56" t="s">
        <v>21</v>
      </c>
      <c r="BN22" s="20"/>
      <c r="BO22" s="57" t="s">
        <v>130</v>
      </c>
      <c r="BP22" s="26"/>
      <c r="BQ22" s="149">
        <f>(IF(((SUM(AV12:AV42))=0)," ",(AVERAGE(AV12:AV42))))</f>
        <v>471.7123246153846</v>
      </c>
      <c r="BR22" s="149">
        <f>MAX(AV12:AV42)</f>
        <v>783.5847</v>
      </c>
      <c r="BS22" s="104" t="s">
        <v>126</v>
      </c>
      <c r="BT22" s="104"/>
      <c r="BU22" s="149">
        <f>(IF(((SUM(AU12:AU42))=0)," ",(AVERAGE(AU12:AU42))))</f>
        <v>26.615384615384617</v>
      </c>
      <c r="BV22" s="143">
        <f>(CJ23)</f>
        <v>32</v>
      </c>
      <c r="BW22" s="149">
        <f>MAX(AU12:AU42)</f>
        <v>43</v>
      </c>
      <c r="BX22" s="104" t="s">
        <v>128</v>
      </c>
      <c r="BY22" s="104"/>
      <c r="BZ22" s="104">
        <v>0</v>
      </c>
      <c r="CA22" s="144" t="s">
        <v>47</v>
      </c>
      <c r="CB22" s="104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4">
        <v>2589046</v>
      </c>
      <c r="D23" s="137">
        <f t="shared" si="0"/>
        <v>2.129</v>
      </c>
      <c r="E23" s="139">
        <v>4.2</v>
      </c>
      <c r="F23" s="140">
        <v>0.4</v>
      </c>
      <c r="G23" s="81" t="str">
        <f t="shared" si="8"/>
        <v>0.00</v>
      </c>
      <c r="H23" s="84">
        <v>2000</v>
      </c>
      <c r="I23" s="85">
        <v>3750</v>
      </c>
      <c r="K23" s="86" t="s">
        <v>208</v>
      </c>
      <c r="L23" s="84">
        <v>40</v>
      </c>
      <c r="M23" s="87">
        <v>0</v>
      </c>
      <c r="O23" s="106"/>
      <c r="Q23" s="107"/>
      <c r="R23" s="152"/>
      <c r="S23" s="108"/>
      <c r="U23" s="92">
        <v>7.33</v>
      </c>
      <c r="V23" s="93">
        <v>7.2</v>
      </c>
      <c r="W23" s="94">
        <v>6.23</v>
      </c>
      <c r="Y23" s="89">
        <v>10.6</v>
      </c>
      <c r="Z23" s="95">
        <v>9.9</v>
      </c>
      <c r="AA23" s="91">
        <v>10.7</v>
      </c>
      <c r="AC23" s="92">
        <v>7</v>
      </c>
      <c r="AD23" s="90">
        <v>0.01</v>
      </c>
      <c r="AE23" s="96">
        <v>0.01</v>
      </c>
      <c r="AG23" s="45">
        <f t="shared" si="1"/>
        <v>12</v>
      </c>
      <c r="AH23" s="281"/>
      <c r="AI23" s="97">
        <v>322</v>
      </c>
      <c r="AJ23" s="55">
        <f t="shared" si="2"/>
        <v>5717.38692</v>
      </c>
      <c r="AK23" s="97">
        <v>195</v>
      </c>
      <c r="AL23" s="55">
        <f t="shared" si="3"/>
        <v>3462.3927</v>
      </c>
      <c r="AM23" s="97">
        <v>16</v>
      </c>
      <c r="AN23" s="55">
        <f t="shared" si="4"/>
        <v>284.09376</v>
      </c>
      <c r="AO23" s="109">
        <v>13</v>
      </c>
      <c r="AQ23" s="99">
        <v>276</v>
      </c>
      <c r="AR23" s="55">
        <f t="shared" si="5"/>
        <v>4900.61736</v>
      </c>
      <c r="AS23" s="97">
        <v>81</v>
      </c>
      <c r="AT23" s="55">
        <f t="shared" si="6"/>
        <v>1438.22466</v>
      </c>
      <c r="AU23" s="97">
        <v>25</v>
      </c>
      <c r="AV23" s="55">
        <f t="shared" si="7"/>
        <v>443.8965</v>
      </c>
      <c r="AX23" s="99"/>
      <c r="AY23" s="100"/>
      <c r="AZ23" s="101"/>
      <c r="BA23" s="97"/>
      <c r="BB23" s="101"/>
      <c r="BC23" s="97"/>
      <c r="BD23" s="97"/>
      <c r="BE23" s="102"/>
      <c r="BG23" s="99"/>
      <c r="BH23" s="83"/>
      <c r="BI23" s="103"/>
      <c r="BK23" s="17"/>
      <c r="BL23" s="19"/>
      <c r="BM23" s="26" t="s">
        <v>86</v>
      </c>
      <c r="BN23" s="20"/>
      <c r="BO23" s="153" t="s">
        <v>131</v>
      </c>
      <c r="BP23" s="26"/>
      <c r="BQ23" s="236">
        <v>963</v>
      </c>
      <c r="BR23" s="236">
        <v>1605</v>
      </c>
      <c r="BS23" s="155" t="s">
        <v>126</v>
      </c>
      <c r="BT23" s="104"/>
      <c r="BU23" s="236">
        <v>30</v>
      </c>
      <c r="BV23" s="156">
        <v>45</v>
      </c>
      <c r="BW23" s="236">
        <v>50</v>
      </c>
      <c r="BX23" s="155" t="s">
        <v>128</v>
      </c>
      <c r="BY23" s="104"/>
      <c r="BZ23" s="237" t="s">
        <v>150</v>
      </c>
      <c r="CA23" s="157" t="s">
        <v>47</v>
      </c>
      <c r="CB23" s="155">
        <v>24</v>
      </c>
      <c r="CC23" s="136"/>
      <c r="CE23" s="69"/>
      <c r="CF23" s="72" t="s">
        <v>53</v>
      </c>
      <c r="CG23" s="149">
        <f>(IF(((SUM(CG12:CG20))=0)," ",(MAX(CG12:CG20))))</f>
        <v>20.333333333333332</v>
      </c>
      <c r="CH23" s="149">
        <f>(IF(((SUM(CH12:CH20))=0)," ",(MAX(CH12:CH20))))</f>
        <v>373.77934000000005</v>
      </c>
      <c r="CI23" s="185"/>
      <c r="CJ23" s="149">
        <f>(IF(((SUM(CJ12:CJ20))=0)," ",(MAX(CJ12:CJ20))))</f>
        <v>32</v>
      </c>
      <c r="CK23" s="149">
        <f>(IF(((SUM(CK12:CK20))=0)," ",(MAX(CK12:CK20))))</f>
        <v>589.8826399999999</v>
      </c>
      <c r="CL23" s="71"/>
      <c r="CM23" s="277">
        <f>(MAX(CM12:CM20))</f>
        <v>0.0014285714285714286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4">
        <v>2591124</v>
      </c>
      <c r="D24" s="137">
        <f t="shared" si="0"/>
        <v>2.078</v>
      </c>
      <c r="E24" s="139">
        <v>3.7</v>
      </c>
      <c r="F24" s="140">
        <v>0.4</v>
      </c>
      <c r="G24" s="81" t="str">
        <f t="shared" si="8"/>
        <v>0.00</v>
      </c>
      <c r="H24" s="84">
        <v>0</v>
      </c>
      <c r="I24" s="85">
        <v>0</v>
      </c>
      <c r="K24" s="86" t="s">
        <v>208</v>
      </c>
      <c r="L24" s="84">
        <v>33</v>
      </c>
      <c r="M24" s="87">
        <v>0</v>
      </c>
      <c r="O24" s="106"/>
      <c r="Q24" s="107" t="s">
        <v>10</v>
      </c>
      <c r="R24" s="152" t="s">
        <v>10</v>
      </c>
      <c r="S24" s="108" t="s">
        <v>10</v>
      </c>
      <c r="U24" s="92">
        <v>7.12</v>
      </c>
      <c r="V24" s="93">
        <v>7.21</v>
      </c>
      <c r="W24" s="94">
        <v>6.07</v>
      </c>
      <c r="Y24" s="89">
        <v>10.5</v>
      </c>
      <c r="Z24" s="95">
        <v>9.8</v>
      </c>
      <c r="AA24" s="91">
        <v>10.2</v>
      </c>
      <c r="AC24" s="92">
        <v>4.5</v>
      </c>
      <c r="AD24" s="90">
        <v>0.01</v>
      </c>
      <c r="AE24" s="96">
        <v>0</v>
      </c>
      <c r="AG24" s="45">
        <f t="shared" si="1"/>
        <v>13</v>
      </c>
      <c r="AH24" s="281"/>
      <c r="AI24" s="97"/>
      <c r="AJ24" s="55">
        <f t="shared" si="2"/>
      </c>
      <c r="AK24" s="97"/>
      <c r="AL24" s="55">
        <f t="shared" si="3"/>
      </c>
      <c r="AM24" s="97"/>
      <c r="AN24" s="55">
        <f t="shared" si="4"/>
      </c>
      <c r="AO24" s="109"/>
      <c r="AQ24" s="99"/>
      <c r="AR24" s="55">
        <f t="shared" si="5"/>
      </c>
      <c r="AS24" s="97"/>
      <c r="AT24" s="55">
        <f t="shared" si="6"/>
      </c>
      <c r="AU24" s="97"/>
      <c r="AV24" s="55">
        <f t="shared" si="7"/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4">
        <v>2593097</v>
      </c>
      <c r="D25" s="137">
        <f t="shared" si="0"/>
        <v>1.973</v>
      </c>
      <c r="E25" s="139">
        <v>3.6</v>
      </c>
      <c r="F25" s="140">
        <v>0.4</v>
      </c>
      <c r="G25" s="81" t="str">
        <f t="shared" si="8"/>
        <v>0.00</v>
      </c>
      <c r="H25" s="84">
        <v>0</v>
      </c>
      <c r="I25" s="85">
        <v>0</v>
      </c>
      <c r="K25" s="86" t="s">
        <v>209</v>
      </c>
      <c r="L25" s="84">
        <v>31</v>
      </c>
      <c r="M25" s="87">
        <v>0</v>
      </c>
      <c r="O25" s="106"/>
      <c r="Q25" s="107"/>
      <c r="R25" s="152"/>
      <c r="S25" s="108"/>
      <c r="U25" s="92">
        <v>7.13</v>
      </c>
      <c r="V25" s="93">
        <v>7.33</v>
      </c>
      <c r="W25" s="94">
        <v>6.19</v>
      </c>
      <c r="Y25" s="89">
        <v>10</v>
      </c>
      <c r="Z25" s="95">
        <v>9.6</v>
      </c>
      <c r="AA25" s="91">
        <v>10</v>
      </c>
      <c r="AC25" s="92">
        <v>2.5</v>
      </c>
      <c r="AD25" s="90">
        <v>0.01</v>
      </c>
      <c r="AE25" s="96">
        <v>0</v>
      </c>
      <c r="AG25" s="45">
        <f t="shared" si="1"/>
        <v>14</v>
      </c>
      <c r="AH25" s="281"/>
      <c r="AI25" s="97"/>
      <c r="AJ25" s="55">
        <f t="shared" si="2"/>
      </c>
      <c r="AK25" s="97"/>
      <c r="AL25" s="55">
        <f t="shared" si="3"/>
      </c>
      <c r="AM25" s="97"/>
      <c r="AN25" s="55">
        <f t="shared" si="4"/>
      </c>
      <c r="AO25" s="109"/>
      <c r="AQ25" s="99"/>
      <c r="AR25" s="55">
        <f t="shared" si="5"/>
      </c>
      <c r="AS25" s="97"/>
      <c r="AT25" s="55">
        <f t="shared" si="6"/>
      </c>
      <c r="AU25" s="97"/>
      <c r="AV25" s="55">
        <f t="shared" si="7"/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2">
        <v>2595045</v>
      </c>
      <c r="D26" s="138">
        <f t="shared" si="0"/>
        <v>1.948</v>
      </c>
      <c r="E26" s="141">
        <v>3.8</v>
      </c>
      <c r="F26" s="142">
        <v>0.4</v>
      </c>
      <c r="G26" s="183" t="str">
        <f t="shared" si="8"/>
        <v>0.00</v>
      </c>
      <c r="H26" s="112">
        <v>2000</v>
      </c>
      <c r="I26" s="113">
        <v>3750</v>
      </c>
      <c r="K26" s="114" t="s">
        <v>209</v>
      </c>
      <c r="L26" s="112">
        <v>39</v>
      </c>
      <c r="M26" s="115">
        <v>0.08</v>
      </c>
      <c r="O26" s="116"/>
      <c r="Q26" s="107" t="s">
        <v>11</v>
      </c>
      <c r="R26" s="152" t="s">
        <v>11</v>
      </c>
      <c r="S26" s="108" t="s">
        <v>11</v>
      </c>
      <c r="U26" s="117">
        <v>7.35</v>
      </c>
      <c r="V26" s="118">
        <v>7.17</v>
      </c>
      <c r="W26" s="119">
        <v>6.37</v>
      </c>
      <c r="Y26" s="120">
        <v>10.5</v>
      </c>
      <c r="Z26" s="121">
        <v>10.3</v>
      </c>
      <c r="AA26" s="122">
        <v>10.5</v>
      </c>
      <c r="AC26" s="117">
        <v>11</v>
      </c>
      <c r="AD26" s="123">
        <v>0.01</v>
      </c>
      <c r="AE26" s="124">
        <v>0</v>
      </c>
      <c r="AG26" s="45">
        <f t="shared" si="1"/>
        <v>15</v>
      </c>
      <c r="AH26" s="281"/>
      <c r="AI26" s="125"/>
      <c r="AJ26" s="65">
        <f t="shared" si="2"/>
      </c>
      <c r="AK26" s="125"/>
      <c r="AL26" s="65">
        <f t="shared" si="3"/>
      </c>
      <c r="AM26" s="125"/>
      <c r="AN26" s="65">
        <f t="shared" si="4"/>
      </c>
      <c r="AO26" s="126"/>
      <c r="AQ26" s="127"/>
      <c r="AR26" s="65">
        <f t="shared" si="5"/>
      </c>
      <c r="AS26" s="125"/>
      <c r="AT26" s="65">
        <f t="shared" si="6"/>
      </c>
      <c r="AU26" s="125"/>
      <c r="AV26" s="65">
        <f t="shared" si="7"/>
      </c>
      <c r="AX26" s="127">
        <v>56638</v>
      </c>
      <c r="AY26" s="128">
        <v>2</v>
      </c>
      <c r="AZ26" s="129">
        <v>3.75</v>
      </c>
      <c r="BA26" s="125">
        <v>37.2</v>
      </c>
      <c r="BB26" s="129">
        <v>24</v>
      </c>
      <c r="BC26" s="125">
        <v>24</v>
      </c>
      <c r="BD26" s="125"/>
      <c r="BE26" s="130"/>
      <c r="BG26" s="127">
        <v>24</v>
      </c>
      <c r="BH26" s="110" t="s">
        <v>215</v>
      </c>
      <c r="BI26" s="131" t="s">
        <v>216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4">
        <v>2597028</v>
      </c>
      <c r="D27" s="137">
        <f t="shared" si="0"/>
        <v>1.983</v>
      </c>
      <c r="E27" s="139">
        <v>3.8</v>
      </c>
      <c r="F27" s="140">
        <v>0.4</v>
      </c>
      <c r="G27" s="81" t="str">
        <f t="shared" si="8"/>
        <v>0.00</v>
      </c>
      <c r="H27" s="84">
        <v>4000</v>
      </c>
      <c r="I27" s="85">
        <v>7250</v>
      </c>
      <c r="K27" s="86" t="s">
        <v>208</v>
      </c>
      <c r="L27" s="84">
        <v>30</v>
      </c>
      <c r="M27" s="87">
        <v>0</v>
      </c>
      <c r="O27" s="106"/>
      <c r="Q27" s="107"/>
      <c r="R27" s="152"/>
      <c r="S27" s="108"/>
      <c r="U27" s="92">
        <v>7.7</v>
      </c>
      <c r="V27" s="93">
        <v>7.27</v>
      </c>
      <c r="W27" s="94">
        <v>7.12</v>
      </c>
      <c r="Y27" s="89">
        <v>10.5</v>
      </c>
      <c r="Z27" s="95">
        <v>10.5</v>
      </c>
      <c r="AA27" s="91">
        <v>10.9</v>
      </c>
      <c r="AC27" s="92">
        <v>10</v>
      </c>
      <c r="AD27" s="90">
        <v>0</v>
      </c>
      <c r="AE27" s="96">
        <v>0</v>
      </c>
      <c r="AG27" s="45">
        <f t="shared" si="1"/>
        <v>16</v>
      </c>
      <c r="AH27" s="281"/>
      <c r="AI27" s="97"/>
      <c r="AJ27" s="55">
        <f t="shared" si="2"/>
      </c>
      <c r="AK27" s="97"/>
      <c r="AL27" s="55">
        <f t="shared" si="3"/>
      </c>
      <c r="AM27" s="97"/>
      <c r="AN27" s="55">
        <f t="shared" si="4"/>
      </c>
      <c r="AO27" s="109"/>
      <c r="AQ27" s="99"/>
      <c r="AR27" s="55">
        <f t="shared" si="5"/>
      </c>
      <c r="AS27" s="97"/>
      <c r="AT27" s="55">
        <f t="shared" si="6"/>
      </c>
      <c r="AU27" s="97"/>
      <c r="AV27" s="55">
        <f t="shared" si="7"/>
      </c>
      <c r="AX27" s="99"/>
      <c r="AY27" s="100"/>
      <c r="AZ27" s="101"/>
      <c r="BA27" s="97"/>
      <c r="BB27" s="101"/>
      <c r="BC27" s="97"/>
      <c r="BD27" s="97"/>
      <c r="BE27" s="102"/>
      <c r="BG27" s="99"/>
      <c r="BH27" s="83"/>
      <c r="BI27" s="103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4">
        <v>2599018</v>
      </c>
      <c r="D28" s="137">
        <f t="shared" si="0"/>
        <v>1.99</v>
      </c>
      <c r="E28" s="139">
        <v>3.4</v>
      </c>
      <c r="F28" s="140">
        <v>0.4</v>
      </c>
      <c r="G28" s="81" t="str">
        <f t="shared" si="8"/>
        <v>0.00</v>
      </c>
      <c r="H28" s="84">
        <v>3000</v>
      </c>
      <c r="I28" s="85">
        <v>3750</v>
      </c>
      <c r="K28" s="86" t="s">
        <v>214</v>
      </c>
      <c r="L28" s="84">
        <v>24</v>
      </c>
      <c r="M28" s="87">
        <v>0.01</v>
      </c>
      <c r="O28" s="106"/>
      <c r="Q28" s="107"/>
      <c r="R28" s="152"/>
      <c r="S28" s="108"/>
      <c r="U28" s="92">
        <v>7.32</v>
      </c>
      <c r="V28" s="93">
        <v>7.21</v>
      </c>
      <c r="W28" s="94">
        <v>6.02</v>
      </c>
      <c r="Y28" s="89">
        <v>11.1</v>
      </c>
      <c r="Z28" s="95">
        <v>9.5</v>
      </c>
      <c r="AA28" s="91">
        <v>9.3</v>
      </c>
      <c r="AC28" s="92">
        <v>4</v>
      </c>
      <c r="AD28" s="90">
        <v>0.01</v>
      </c>
      <c r="AE28" s="96">
        <v>0</v>
      </c>
      <c r="AG28" s="45">
        <f t="shared" si="1"/>
        <v>17</v>
      </c>
      <c r="AH28" s="281"/>
      <c r="AI28" s="97">
        <v>318</v>
      </c>
      <c r="AJ28" s="55">
        <f t="shared" si="2"/>
        <v>5277.718800000001</v>
      </c>
      <c r="AK28" s="97"/>
      <c r="AL28" s="55">
        <f t="shared" si="3"/>
      </c>
      <c r="AM28" s="97">
        <v>16</v>
      </c>
      <c r="AN28" s="55">
        <f t="shared" si="4"/>
        <v>265.5456</v>
      </c>
      <c r="AO28" s="109">
        <v>11</v>
      </c>
      <c r="AQ28" s="99">
        <v>236</v>
      </c>
      <c r="AR28" s="55">
        <f t="shared" si="5"/>
        <v>3916.7976</v>
      </c>
      <c r="AS28" s="97"/>
      <c r="AT28" s="55">
        <f t="shared" si="6"/>
      </c>
      <c r="AU28" s="97">
        <v>21</v>
      </c>
      <c r="AV28" s="55">
        <f t="shared" si="7"/>
        <v>348.5286</v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38" t="s">
        <v>150</v>
      </c>
      <c r="BR28" s="238" t="s">
        <v>150</v>
      </c>
      <c r="BS28" s="238" t="s">
        <v>150</v>
      </c>
      <c r="BT28" s="238"/>
      <c r="BU28" s="238" t="s">
        <v>150</v>
      </c>
      <c r="BV28" s="146">
        <f>(CM23)</f>
        <v>0.0014285714285714286</v>
      </c>
      <c r="BW28" s="146">
        <f>MAX(AE12:AE42)</f>
        <v>0.01</v>
      </c>
      <c r="BX28" s="104" t="s">
        <v>128</v>
      </c>
      <c r="BY28" s="104"/>
      <c r="BZ28" s="104">
        <v>0</v>
      </c>
      <c r="CA28" s="144" t="s">
        <v>48</v>
      </c>
      <c r="CB28" s="104" t="s">
        <v>23</v>
      </c>
      <c r="CC28" s="136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4">
        <v>2600993</v>
      </c>
      <c r="D29" s="137">
        <f t="shared" si="0"/>
        <v>1.975</v>
      </c>
      <c r="E29" s="139">
        <v>4.2</v>
      </c>
      <c r="F29" s="140">
        <v>0.4</v>
      </c>
      <c r="G29" s="81" t="str">
        <f t="shared" si="8"/>
        <v>0.00</v>
      </c>
      <c r="H29" s="84">
        <v>3550</v>
      </c>
      <c r="I29" s="85">
        <v>4000</v>
      </c>
      <c r="K29" s="86" t="s">
        <v>208</v>
      </c>
      <c r="L29" s="84">
        <v>24</v>
      </c>
      <c r="M29" s="87">
        <v>0</v>
      </c>
      <c r="O29" s="106"/>
      <c r="Q29" s="107"/>
      <c r="R29" s="152"/>
      <c r="S29" s="108"/>
      <c r="U29" s="92">
        <v>7.51</v>
      </c>
      <c r="V29" s="93">
        <v>7.26</v>
      </c>
      <c r="W29" s="94">
        <v>6.37</v>
      </c>
      <c r="Y29" s="89">
        <v>10.2</v>
      </c>
      <c r="Z29" s="95">
        <v>9.6</v>
      </c>
      <c r="AA29" s="91">
        <v>9.2</v>
      </c>
      <c r="AC29" s="92">
        <v>7</v>
      </c>
      <c r="AD29" s="90">
        <v>0</v>
      </c>
      <c r="AE29" s="96">
        <v>0</v>
      </c>
      <c r="AG29" s="45">
        <f t="shared" si="1"/>
        <v>18</v>
      </c>
      <c r="AH29" s="281"/>
      <c r="AI29" s="97">
        <v>257</v>
      </c>
      <c r="AJ29" s="55">
        <f t="shared" si="2"/>
        <v>4233.1755</v>
      </c>
      <c r="AK29" s="97"/>
      <c r="AL29" s="55">
        <f t="shared" si="3"/>
      </c>
      <c r="AM29" s="97">
        <v>18</v>
      </c>
      <c r="AN29" s="55">
        <f t="shared" si="4"/>
        <v>296.487</v>
      </c>
      <c r="AO29" s="109">
        <v>13</v>
      </c>
      <c r="AQ29" s="99">
        <v>196</v>
      </c>
      <c r="AR29" s="55">
        <f t="shared" si="5"/>
        <v>3228.414</v>
      </c>
      <c r="AS29" s="97"/>
      <c r="AT29" s="55">
        <f t="shared" si="6"/>
      </c>
      <c r="AU29" s="97">
        <v>25</v>
      </c>
      <c r="AV29" s="55">
        <f t="shared" si="7"/>
        <v>411.78749999999997</v>
      </c>
      <c r="AX29" s="99">
        <v>52881</v>
      </c>
      <c r="AY29" s="100">
        <v>2</v>
      </c>
      <c r="AZ29" s="101">
        <v>3.5</v>
      </c>
      <c r="BA29" s="97">
        <v>34.1</v>
      </c>
      <c r="BB29" s="101">
        <v>26</v>
      </c>
      <c r="BC29" s="97">
        <v>24</v>
      </c>
      <c r="BD29" s="97"/>
      <c r="BE29" s="102"/>
      <c r="BG29" s="99">
        <v>24</v>
      </c>
      <c r="BH29" s="83" t="s">
        <v>215</v>
      </c>
      <c r="BI29" s="103" t="s">
        <v>216</v>
      </c>
      <c r="BK29" s="17"/>
      <c r="BL29" s="19"/>
      <c r="BM29" s="26" t="s">
        <v>86</v>
      </c>
      <c r="BN29" s="20"/>
      <c r="BO29" s="153" t="s">
        <v>131</v>
      </c>
      <c r="BP29" s="26"/>
      <c r="BQ29" s="237" t="s">
        <v>150</v>
      </c>
      <c r="BR29" s="237" t="s">
        <v>150</v>
      </c>
      <c r="BS29" s="237" t="s">
        <v>150</v>
      </c>
      <c r="BT29" s="238"/>
      <c r="BU29" s="237" t="s">
        <v>150</v>
      </c>
      <c r="BV29" s="155" t="s">
        <v>146</v>
      </c>
      <c r="BW29" s="155">
        <v>0.3</v>
      </c>
      <c r="BX29" s="155" t="s">
        <v>128</v>
      </c>
      <c r="BY29" s="104"/>
      <c r="BZ29" s="237" t="s">
        <v>150</v>
      </c>
      <c r="CA29" s="157" t="s">
        <v>48</v>
      </c>
      <c r="CB29" s="155" t="s">
        <v>23</v>
      </c>
      <c r="CC29" s="136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4">
        <v>2603254</v>
      </c>
      <c r="D30" s="137">
        <f t="shared" si="0"/>
        <v>2.261</v>
      </c>
      <c r="E30" s="139">
        <v>3.6</v>
      </c>
      <c r="F30" s="140">
        <v>0.4</v>
      </c>
      <c r="G30" s="81" t="str">
        <f t="shared" si="8"/>
        <v>0.00</v>
      </c>
      <c r="H30" s="84">
        <v>500</v>
      </c>
      <c r="I30" s="85">
        <v>2000</v>
      </c>
      <c r="K30" s="86" t="s">
        <v>209</v>
      </c>
      <c r="L30" s="84">
        <v>30</v>
      </c>
      <c r="M30" s="87">
        <v>0</v>
      </c>
      <c r="O30" s="106"/>
      <c r="Q30" s="107" t="s">
        <v>12</v>
      </c>
      <c r="R30" s="152" t="s">
        <v>12</v>
      </c>
      <c r="S30" s="108" t="s">
        <v>12</v>
      </c>
      <c r="U30" s="92">
        <v>7.46</v>
      </c>
      <c r="V30" s="93">
        <v>7.25</v>
      </c>
      <c r="W30" s="94">
        <v>6.92</v>
      </c>
      <c r="Y30" s="89">
        <v>10.3</v>
      </c>
      <c r="Z30" s="95">
        <v>10.4</v>
      </c>
      <c r="AA30" s="91">
        <v>10.6</v>
      </c>
      <c r="AC30" s="92">
        <v>5.5</v>
      </c>
      <c r="AD30" s="90">
        <v>0.01</v>
      </c>
      <c r="AE30" s="96">
        <v>0</v>
      </c>
      <c r="AG30" s="45">
        <f t="shared" si="1"/>
        <v>19</v>
      </c>
      <c r="AH30" s="281"/>
      <c r="AI30" s="97">
        <v>259</v>
      </c>
      <c r="AJ30" s="55">
        <f t="shared" si="2"/>
        <v>4883.89566</v>
      </c>
      <c r="AK30" s="97">
        <v>191</v>
      </c>
      <c r="AL30" s="55">
        <f t="shared" si="3"/>
        <v>3601.6373399999998</v>
      </c>
      <c r="AM30" s="97">
        <v>21</v>
      </c>
      <c r="AN30" s="55">
        <f t="shared" si="4"/>
        <v>395.99154</v>
      </c>
      <c r="AO30" s="109">
        <v>15</v>
      </c>
      <c r="AQ30" s="99">
        <v>190</v>
      </c>
      <c r="AR30" s="55">
        <f t="shared" si="5"/>
        <v>3582.7806</v>
      </c>
      <c r="AS30" s="97">
        <v>89</v>
      </c>
      <c r="AT30" s="55">
        <f t="shared" si="6"/>
        <v>1678.2498600000001</v>
      </c>
      <c r="AU30" s="97">
        <v>27</v>
      </c>
      <c r="AV30" s="55">
        <f t="shared" si="7"/>
        <v>509.13198</v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2">
        <v>2605240</v>
      </c>
      <c r="D31" s="138">
        <f t="shared" si="0"/>
        <v>1.986</v>
      </c>
      <c r="E31" s="141">
        <v>3.6</v>
      </c>
      <c r="F31" s="142">
        <v>0.4</v>
      </c>
      <c r="G31" s="183" t="str">
        <f t="shared" si="8"/>
        <v>0.00</v>
      </c>
      <c r="H31" s="112">
        <v>0</v>
      </c>
      <c r="I31" s="113">
        <v>0</v>
      </c>
      <c r="K31" s="114" t="s">
        <v>209</v>
      </c>
      <c r="L31" s="112">
        <v>32</v>
      </c>
      <c r="M31" s="115">
        <v>0.04</v>
      </c>
      <c r="O31" s="116"/>
      <c r="Q31" s="107"/>
      <c r="R31" s="152"/>
      <c r="S31" s="108"/>
      <c r="U31" s="117">
        <v>7.31</v>
      </c>
      <c r="V31" s="118">
        <v>7.18</v>
      </c>
      <c r="W31" s="119">
        <v>6.81</v>
      </c>
      <c r="Y31" s="120">
        <v>10.1</v>
      </c>
      <c r="Z31" s="121">
        <v>10.1</v>
      </c>
      <c r="AA31" s="122">
        <v>10.2</v>
      </c>
      <c r="AC31" s="117">
        <v>5</v>
      </c>
      <c r="AD31" s="123">
        <v>0.01</v>
      </c>
      <c r="AE31" s="124">
        <v>0</v>
      </c>
      <c r="AG31" s="45">
        <f t="shared" si="1"/>
        <v>20</v>
      </c>
      <c r="AH31" s="281"/>
      <c r="AI31" s="125"/>
      <c r="AJ31" s="65">
        <f t="shared" si="2"/>
      </c>
      <c r="AK31" s="125"/>
      <c r="AL31" s="65">
        <f t="shared" si="3"/>
      </c>
      <c r="AM31" s="125"/>
      <c r="AN31" s="65">
        <f t="shared" si="4"/>
      </c>
      <c r="AO31" s="126"/>
      <c r="AQ31" s="127"/>
      <c r="AR31" s="65">
        <f t="shared" si="5"/>
      </c>
      <c r="AS31" s="125"/>
      <c r="AT31" s="65">
        <f t="shared" si="6"/>
      </c>
      <c r="AU31" s="125"/>
      <c r="AV31" s="65">
        <f t="shared" si="7"/>
      </c>
      <c r="AX31" s="127"/>
      <c r="AY31" s="128"/>
      <c r="AZ31" s="129"/>
      <c r="BA31" s="125"/>
      <c r="BB31" s="129"/>
      <c r="BC31" s="125"/>
      <c r="BD31" s="125"/>
      <c r="BE31" s="130"/>
      <c r="BG31" s="127"/>
      <c r="BH31" s="110"/>
      <c r="BI31" s="131"/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4">
        <v>2607188</v>
      </c>
      <c r="D32" s="137">
        <f t="shared" si="0"/>
        <v>1.948</v>
      </c>
      <c r="E32" s="139">
        <v>3.8</v>
      </c>
      <c r="F32" s="140">
        <v>0.4</v>
      </c>
      <c r="G32" s="81" t="str">
        <f t="shared" si="8"/>
        <v>0.00</v>
      </c>
      <c r="H32" s="84">
        <v>0</v>
      </c>
      <c r="I32" s="85">
        <v>0</v>
      </c>
      <c r="K32" s="86" t="s">
        <v>214</v>
      </c>
      <c r="L32" s="84">
        <v>36</v>
      </c>
      <c r="M32" s="87">
        <v>0.37</v>
      </c>
      <c r="O32" s="106"/>
      <c r="Q32" s="107" t="s">
        <v>13</v>
      </c>
      <c r="R32" s="152" t="s">
        <v>13</v>
      </c>
      <c r="S32" s="108" t="s">
        <v>13</v>
      </c>
      <c r="U32" s="92">
        <v>7.21</v>
      </c>
      <c r="V32" s="93">
        <v>7.19</v>
      </c>
      <c r="W32" s="94">
        <v>7.03</v>
      </c>
      <c r="Y32" s="89">
        <v>10.1</v>
      </c>
      <c r="Z32" s="95">
        <v>9.5</v>
      </c>
      <c r="AA32" s="91">
        <v>9.7</v>
      </c>
      <c r="AC32" s="92">
        <v>4.5</v>
      </c>
      <c r="AD32" s="90">
        <v>0</v>
      </c>
      <c r="AE32" s="96">
        <v>0.01</v>
      </c>
      <c r="AG32" s="45">
        <f t="shared" si="1"/>
        <v>21</v>
      </c>
      <c r="AH32" s="281"/>
      <c r="AI32" s="97"/>
      <c r="AJ32" s="55">
        <f t="shared" si="2"/>
      </c>
      <c r="AK32" s="97"/>
      <c r="AL32" s="55">
        <f t="shared" si="3"/>
      </c>
      <c r="AM32" s="97"/>
      <c r="AN32" s="55">
        <f t="shared" si="4"/>
      </c>
      <c r="AO32" s="109"/>
      <c r="AQ32" s="99"/>
      <c r="AR32" s="55">
        <f t="shared" si="5"/>
      </c>
      <c r="AS32" s="97"/>
      <c r="AT32" s="55">
        <f t="shared" si="6"/>
      </c>
      <c r="AU32" s="97"/>
      <c r="AV32" s="55">
        <f t="shared" si="7"/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4">
        <v>2609262</v>
      </c>
      <c r="D33" s="137">
        <f t="shared" si="0"/>
        <v>2.074</v>
      </c>
      <c r="E33" s="139">
        <v>3.6</v>
      </c>
      <c r="F33" s="140">
        <v>0.4</v>
      </c>
      <c r="G33" s="81" t="str">
        <f t="shared" si="8"/>
        <v>0.00</v>
      </c>
      <c r="H33" s="84">
        <v>1000</v>
      </c>
      <c r="I33" s="85">
        <v>5000</v>
      </c>
      <c r="K33" s="86" t="s">
        <v>209</v>
      </c>
      <c r="L33" s="84">
        <v>23</v>
      </c>
      <c r="M33" s="87">
        <v>0</v>
      </c>
      <c r="O33" s="106"/>
      <c r="Q33" s="107"/>
      <c r="R33" s="152"/>
      <c r="S33" s="108"/>
      <c r="U33" s="92">
        <v>7.35</v>
      </c>
      <c r="V33" s="93">
        <v>7.16</v>
      </c>
      <c r="W33" s="94">
        <v>6.69</v>
      </c>
      <c r="Y33" s="89">
        <v>10.4</v>
      </c>
      <c r="Z33" s="95">
        <v>9.8</v>
      </c>
      <c r="AA33" s="91">
        <v>9.9</v>
      </c>
      <c r="AC33" s="92">
        <v>12</v>
      </c>
      <c r="AD33" s="90">
        <v>0</v>
      </c>
      <c r="AE33" s="96">
        <v>0</v>
      </c>
      <c r="AG33" s="45">
        <f t="shared" si="1"/>
        <v>22</v>
      </c>
      <c r="AH33" s="281"/>
      <c r="AI33" s="97"/>
      <c r="AJ33" s="55">
        <f t="shared" si="2"/>
      </c>
      <c r="AK33" s="97"/>
      <c r="AL33" s="55">
        <f t="shared" si="3"/>
      </c>
      <c r="AM33" s="97"/>
      <c r="AN33" s="55">
        <f t="shared" si="4"/>
      </c>
      <c r="AO33" s="109"/>
      <c r="AQ33" s="99"/>
      <c r="AR33" s="55">
        <f t="shared" si="5"/>
      </c>
      <c r="AS33" s="97"/>
      <c r="AT33" s="55">
        <f t="shared" si="6"/>
      </c>
      <c r="AU33" s="97"/>
      <c r="AV33" s="55">
        <f t="shared" si="7"/>
      </c>
      <c r="AX33" s="99">
        <v>64713</v>
      </c>
      <c r="AY33" s="100">
        <v>2</v>
      </c>
      <c r="AZ33" s="101">
        <v>4.25</v>
      </c>
      <c r="BA33" s="97">
        <v>37.2</v>
      </c>
      <c r="BB33" s="101">
        <v>27</v>
      </c>
      <c r="BC33" s="97">
        <v>24</v>
      </c>
      <c r="BD33" s="97"/>
      <c r="BE33" s="102"/>
      <c r="BG33" s="99">
        <v>24</v>
      </c>
      <c r="BH33" s="83" t="s">
        <v>215</v>
      </c>
      <c r="BI33" s="103" t="s">
        <v>216</v>
      </c>
      <c r="BK33" s="17"/>
      <c r="BL33" s="19"/>
      <c r="BM33" s="56" t="s">
        <v>1</v>
      </c>
      <c r="BN33" s="20"/>
      <c r="BO33" s="57" t="s">
        <v>130</v>
      </c>
      <c r="BP33" s="26"/>
      <c r="BQ33" s="147">
        <f>(D47)</f>
        <v>2.1061290322580652</v>
      </c>
      <c r="BR33" s="147">
        <f>(D45)</f>
        <v>2.361</v>
      </c>
      <c r="BS33" s="104" t="s">
        <v>127</v>
      </c>
      <c r="BT33" s="104"/>
      <c r="BU33" s="238" t="s">
        <v>150</v>
      </c>
      <c r="BV33" s="238" t="s">
        <v>150</v>
      </c>
      <c r="BW33" s="238" t="s">
        <v>150</v>
      </c>
      <c r="BX33" s="238" t="s">
        <v>150</v>
      </c>
      <c r="BY33" s="104"/>
      <c r="BZ33" s="104">
        <v>0</v>
      </c>
      <c r="CA33" s="148" t="s">
        <v>24</v>
      </c>
      <c r="CB33" s="104" t="s">
        <v>25</v>
      </c>
      <c r="CC33" s="136"/>
      <c r="CJ33" s="338" t="s">
        <v>17</v>
      </c>
      <c r="CK33" s="340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4">
        <v>2611334</v>
      </c>
      <c r="D34" s="137">
        <f t="shared" si="0"/>
        <v>2.072</v>
      </c>
      <c r="E34" s="139">
        <v>3.5</v>
      </c>
      <c r="F34" s="140">
        <v>0.4</v>
      </c>
      <c r="G34" s="81" t="str">
        <f t="shared" si="8"/>
        <v>0.00</v>
      </c>
      <c r="H34" s="84">
        <v>6400</v>
      </c>
      <c r="I34" s="85">
        <v>2000</v>
      </c>
      <c r="K34" s="86" t="s">
        <v>209</v>
      </c>
      <c r="L34" s="84">
        <v>26</v>
      </c>
      <c r="M34" s="87">
        <v>0</v>
      </c>
      <c r="O34" s="106"/>
      <c r="Q34" s="107" t="s">
        <v>14</v>
      </c>
      <c r="R34" s="152" t="s">
        <v>14</v>
      </c>
      <c r="S34" s="108" t="s">
        <v>14</v>
      </c>
      <c r="U34" s="92">
        <v>7.3</v>
      </c>
      <c r="V34" s="93">
        <v>7.21</v>
      </c>
      <c r="W34" s="94">
        <v>8.21</v>
      </c>
      <c r="Y34" s="89">
        <v>10.2</v>
      </c>
      <c r="Z34" s="95">
        <v>10.2</v>
      </c>
      <c r="AA34" s="91">
        <v>9.7</v>
      </c>
      <c r="AC34" s="92">
        <v>10</v>
      </c>
      <c r="AD34" s="90">
        <v>0.1</v>
      </c>
      <c r="AE34" s="96">
        <v>0.01</v>
      </c>
      <c r="AG34" s="45">
        <f t="shared" si="1"/>
        <v>23</v>
      </c>
      <c r="AH34" s="281"/>
      <c r="AI34" s="97"/>
      <c r="AJ34" s="55">
        <f t="shared" si="2"/>
      </c>
      <c r="AK34" s="97"/>
      <c r="AL34" s="55">
        <f t="shared" si="3"/>
      </c>
      <c r="AM34" s="97"/>
      <c r="AN34" s="55">
        <f t="shared" si="4"/>
      </c>
      <c r="AO34" s="109"/>
      <c r="AQ34" s="99"/>
      <c r="AR34" s="55">
        <f t="shared" si="5"/>
      </c>
      <c r="AS34" s="97"/>
      <c r="AT34" s="55">
        <f t="shared" si="6"/>
      </c>
      <c r="AU34" s="97"/>
      <c r="AV34" s="55">
        <f t="shared" si="7"/>
      </c>
      <c r="AX34" s="99"/>
      <c r="AY34" s="100"/>
      <c r="AZ34" s="101"/>
      <c r="BA34" s="97"/>
      <c r="BB34" s="101"/>
      <c r="BC34" s="97"/>
      <c r="BD34" s="97"/>
      <c r="BE34" s="102"/>
      <c r="BG34" s="99"/>
      <c r="BH34" s="83"/>
      <c r="BI34" s="103"/>
      <c r="BK34" s="17"/>
      <c r="BL34" s="19"/>
      <c r="BM34" s="26" t="s">
        <v>86</v>
      </c>
      <c r="BN34" s="20"/>
      <c r="BO34" s="153" t="s">
        <v>131</v>
      </c>
      <c r="BP34" s="26"/>
      <c r="BQ34" s="159">
        <v>3.85</v>
      </c>
      <c r="BR34" s="155" t="s">
        <v>146</v>
      </c>
      <c r="BS34" s="155" t="s">
        <v>127</v>
      </c>
      <c r="BT34" s="104"/>
      <c r="BU34" s="237" t="s">
        <v>150</v>
      </c>
      <c r="BV34" s="237" t="s">
        <v>150</v>
      </c>
      <c r="BW34" s="237" t="s">
        <v>150</v>
      </c>
      <c r="BX34" s="237" t="s">
        <v>150</v>
      </c>
      <c r="BY34" s="104"/>
      <c r="BZ34" s="237" t="s">
        <v>150</v>
      </c>
      <c r="CA34" s="160" t="s">
        <v>24</v>
      </c>
      <c r="CB34" s="155" t="s">
        <v>25</v>
      </c>
      <c r="CC34" s="136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4">
        <v>2613352</v>
      </c>
      <c r="D35" s="137">
        <f t="shared" si="0"/>
        <v>2.018</v>
      </c>
      <c r="E35" s="139">
        <v>3.4</v>
      </c>
      <c r="F35" s="140">
        <v>0.4</v>
      </c>
      <c r="G35" s="81" t="str">
        <f t="shared" si="8"/>
        <v>0.00</v>
      </c>
      <c r="H35" s="84">
        <v>2200</v>
      </c>
      <c r="I35" s="85">
        <v>1000</v>
      </c>
      <c r="K35" s="86" t="s">
        <v>209</v>
      </c>
      <c r="L35" s="84">
        <v>34</v>
      </c>
      <c r="M35" s="87">
        <v>0</v>
      </c>
      <c r="O35" s="106"/>
      <c r="Q35" s="107"/>
      <c r="R35" s="152"/>
      <c r="S35" s="108"/>
      <c r="U35" s="92">
        <v>7.23</v>
      </c>
      <c r="V35" s="93">
        <v>7.14</v>
      </c>
      <c r="W35" s="94">
        <v>6.58</v>
      </c>
      <c r="Y35" s="89">
        <v>10.4</v>
      </c>
      <c r="Z35" s="95">
        <v>10.5</v>
      </c>
      <c r="AA35" s="91">
        <v>10.5</v>
      </c>
      <c r="AC35" s="92">
        <v>6</v>
      </c>
      <c r="AD35" s="90">
        <v>0.01</v>
      </c>
      <c r="AE35" s="96">
        <v>0</v>
      </c>
      <c r="AG35" s="45">
        <f t="shared" si="1"/>
        <v>24</v>
      </c>
      <c r="AH35" s="281"/>
      <c r="AI35" s="97">
        <v>242</v>
      </c>
      <c r="AJ35" s="55">
        <f t="shared" si="2"/>
        <v>4072.8890399999996</v>
      </c>
      <c r="AK35" s="97"/>
      <c r="AL35" s="55">
        <f t="shared" si="3"/>
      </c>
      <c r="AM35" s="97">
        <v>15</v>
      </c>
      <c r="AN35" s="55">
        <f t="shared" si="4"/>
        <v>252.45179999999996</v>
      </c>
      <c r="AO35" s="109">
        <v>9</v>
      </c>
      <c r="AQ35" s="99">
        <v>200</v>
      </c>
      <c r="AR35" s="55">
        <f t="shared" si="5"/>
        <v>3366.0239999999994</v>
      </c>
      <c r="AS35" s="97"/>
      <c r="AT35" s="55">
        <f t="shared" si="6"/>
      </c>
      <c r="AU35" s="97">
        <v>24</v>
      </c>
      <c r="AV35" s="55">
        <f t="shared" si="7"/>
        <v>403.92287999999996</v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2">
        <v>2615343</v>
      </c>
      <c r="D36" s="138">
        <f t="shared" si="0"/>
        <v>1.991</v>
      </c>
      <c r="E36" s="141">
        <v>4.1</v>
      </c>
      <c r="F36" s="142">
        <v>0.4</v>
      </c>
      <c r="G36" s="183" t="str">
        <f t="shared" si="8"/>
        <v>0.00</v>
      </c>
      <c r="H36" s="112">
        <v>1000</v>
      </c>
      <c r="I36" s="113">
        <v>2000</v>
      </c>
      <c r="K36" s="114" t="s">
        <v>208</v>
      </c>
      <c r="L36" s="112">
        <v>39</v>
      </c>
      <c r="M36" s="115">
        <v>0.05</v>
      </c>
      <c r="O36" s="116"/>
      <c r="Q36" s="107" t="s">
        <v>12</v>
      </c>
      <c r="R36" s="152" t="s">
        <v>12</v>
      </c>
      <c r="S36" s="108" t="s">
        <v>12</v>
      </c>
      <c r="U36" s="117">
        <v>7.24</v>
      </c>
      <c r="V36" s="118">
        <v>7.15</v>
      </c>
      <c r="W36" s="119">
        <v>6.49</v>
      </c>
      <c r="Y36" s="120">
        <v>10.8</v>
      </c>
      <c r="Z36" s="121">
        <v>10.7</v>
      </c>
      <c r="AA36" s="122">
        <v>11</v>
      </c>
      <c r="AC36" s="117">
        <v>9</v>
      </c>
      <c r="AD36" s="123">
        <v>0.1</v>
      </c>
      <c r="AE36" s="124">
        <v>0</v>
      </c>
      <c r="AG36" s="45">
        <f t="shared" si="1"/>
        <v>25</v>
      </c>
      <c r="AH36" s="281"/>
      <c r="AI36" s="125">
        <v>273</v>
      </c>
      <c r="AJ36" s="65">
        <f t="shared" si="2"/>
        <v>4533.14862</v>
      </c>
      <c r="AK36" s="125"/>
      <c r="AL36" s="65">
        <f t="shared" si="3"/>
      </c>
      <c r="AM36" s="125">
        <v>15</v>
      </c>
      <c r="AN36" s="65">
        <f t="shared" si="4"/>
        <v>249.07410000000002</v>
      </c>
      <c r="AO36" s="126">
        <v>13</v>
      </c>
      <c r="AQ36" s="127">
        <v>198</v>
      </c>
      <c r="AR36" s="65">
        <f t="shared" si="5"/>
        <v>3287.77812</v>
      </c>
      <c r="AS36" s="125"/>
      <c r="AT36" s="65">
        <f t="shared" si="6"/>
      </c>
      <c r="AU36" s="125">
        <v>27</v>
      </c>
      <c r="AV36" s="65">
        <f t="shared" si="7"/>
        <v>448.33338000000003</v>
      </c>
      <c r="AX36" s="127">
        <v>38511</v>
      </c>
      <c r="AY36" s="128">
        <v>2</v>
      </c>
      <c r="AZ36" s="129">
        <v>2.5</v>
      </c>
      <c r="BA36" s="125">
        <v>24.8</v>
      </c>
      <c r="BB36" s="129">
        <v>24</v>
      </c>
      <c r="BC36" s="125">
        <v>12</v>
      </c>
      <c r="BD36" s="125"/>
      <c r="BE36" s="130"/>
      <c r="BG36" s="127">
        <v>12</v>
      </c>
      <c r="BH36" s="110" t="s">
        <v>215</v>
      </c>
      <c r="BI36" s="131" t="s">
        <v>216</v>
      </c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4">
        <v>2617394</v>
      </c>
      <c r="D37" s="137">
        <f t="shared" si="0"/>
        <v>2.051</v>
      </c>
      <c r="E37" s="139">
        <v>3.4</v>
      </c>
      <c r="F37" s="140">
        <v>0.6</v>
      </c>
      <c r="G37" s="81" t="str">
        <f t="shared" si="8"/>
        <v>0.00</v>
      </c>
      <c r="H37" s="84">
        <v>1500</v>
      </c>
      <c r="I37" s="85">
        <v>3000</v>
      </c>
      <c r="K37" s="86" t="s">
        <v>208</v>
      </c>
      <c r="L37" s="84">
        <v>42</v>
      </c>
      <c r="M37" s="87">
        <v>0.01</v>
      </c>
      <c r="O37" s="106"/>
      <c r="Q37" s="107"/>
      <c r="R37" s="152"/>
      <c r="S37" s="108"/>
      <c r="U37" s="92">
        <v>7.36</v>
      </c>
      <c r="V37" s="93">
        <v>7.17</v>
      </c>
      <c r="W37" s="94">
        <v>7.3</v>
      </c>
      <c r="Y37" s="89">
        <v>10.5</v>
      </c>
      <c r="Z37" s="95">
        <v>10.2</v>
      </c>
      <c r="AA37" s="91">
        <v>11</v>
      </c>
      <c r="AC37" s="92">
        <v>8</v>
      </c>
      <c r="AD37" s="90">
        <v>0</v>
      </c>
      <c r="AE37" s="96">
        <v>0</v>
      </c>
      <c r="AG37" s="45">
        <f t="shared" si="1"/>
        <v>26</v>
      </c>
      <c r="AH37" s="281"/>
      <c r="AI37" s="97">
        <v>287</v>
      </c>
      <c r="AJ37" s="55">
        <f t="shared" si="2"/>
        <v>4909.232580000001</v>
      </c>
      <c r="AK37" s="97">
        <v>178</v>
      </c>
      <c r="AL37" s="55">
        <f t="shared" si="3"/>
        <v>3044.75052</v>
      </c>
      <c r="AM37" s="97">
        <v>20</v>
      </c>
      <c r="AN37" s="55">
        <f t="shared" si="4"/>
        <v>342.1068</v>
      </c>
      <c r="AO37" s="109">
        <v>14</v>
      </c>
      <c r="AQ37" s="99">
        <v>244</v>
      </c>
      <c r="AR37" s="55">
        <f t="shared" si="5"/>
        <v>4173.70296</v>
      </c>
      <c r="AS37" s="97">
        <v>86</v>
      </c>
      <c r="AT37" s="55">
        <f t="shared" si="6"/>
        <v>1471.0592400000003</v>
      </c>
      <c r="AU37" s="97">
        <v>32</v>
      </c>
      <c r="AV37" s="55">
        <f t="shared" si="7"/>
        <v>547.37088</v>
      </c>
      <c r="AX37" s="99"/>
      <c r="AY37" s="100"/>
      <c r="AZ37" s="101"/>
      <c r="BA37" s="97"/>
      <c r="BB37" s="101"/>
      <c r="BC37" s="97"/>
      <c r="BD37" s="97"/>
      <c r="BE37" s="102"/>
      <c r="BG37" s="99"/>
      <c r="BH37" s="83"/>
      <c r="BI37" s="103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4">
        <f>(IF(((SUM(AJ12:AJ42))=0)," ",(((AJ47-(D47*AO47*8.346))/AJ47)*100)))</f>
        <v>95.25473681520475</v>
      </c>
      <c r="CK37" s="345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4">
        <v>2619536</v>
      </c>
      <c r="D38" s="137">
        <f t="shared" si="0"/>
        <v>2.142</v>
      </c>
      <c r="E38" s="139">
        <v>3.6</v>
      </c>
      <c r="F38" s="140">
        <v>0.4</v>
      </c>
      <c r="G38" s="81" t="str">
        <f t="shared" si="8"/>
        <v>0.00</v>
      </c>
      <c r="H38" s="84">
        <v>1200</v>
      </c>
      <c r="I38" s="85">
        <v>1000</v>
      </c>
      <c r="K38" s="86" t="s">
        <v>213</v>
      </c>
      <c r="L38" s="84">
        <v>46</v>
      </c>
      <c r="M38" s="87">
        <v>0.54</v>
      </c>
      <c r="O38" s="106"/>
      <c r="Q38" s="107" t="s">
        <v>10</v>
      </c>
      <c r="R38" s="152" t="s">
        <v>10</v>
      </c>
      <c r="S38" s="108" t="s">
        <v>10</v>
      </c>
      <c r="U38" s="92">
        <v>7.13</v>
      </c>
      <c r="V38" s="93">
        <v>7.15</v>
      </c>
      <c r="W38" s="94">
        <v>6.84</v>
      </c>
      <c r="Y38" s="89">
        <v>10.5</v>
      </c>
      <c r="Z38" s="95">
        <v>10.3</v>
      </c>
      <c r="AA38" s="91">
        <v>11.3</v>
      </c>
      <c r="AC38" s="92">
        <v>4</v>
      </c>
      <c r="AD38" s="90">
        <v>0.01</v>
      </c>
      <c r="AE38" s="96">
        <v>0</v>
      </c>
      <c r="AG38" s="45">
        <f t="shared" si="1"/>
        <v>27</v>
      </c>
      <c r="AH38" s="281"/>
      <c r="AI38" s="97"/>
      <c r="AJ38" s="55">
        <f t="shared" si="2"/>
      </c>
      <c r="AK38" s="97"/>
      <c r="AL38" s="55">
        <f t="shared" si="3"/>
      </c>
      <c r="AM38" s="97"/>
      <c r="AN38" s="55">
        <f t="shared" si="4"/>
      </c>
      <c r="AO38" s="109"/>
      <c r="AQ38" s="99"/>
      <c r="AR38" s="55">
        <f t="shared" si="5"/>
      </c>
      <c r="AS38" s="97"/>
      <c r="AT38" s="55">
        <f t="shared" si="6"/>
      </c>
      <c r="AU38" s="97"/>
      <c r="AV38" s="55">
        <f t="shared" si="7"/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38" t="s">
        <v>150</v>
      </c>
      <c r="BR38" s="238" t="s">
        <v>150</v>
      </c>
      <c r="BS38" s="238" t="s">
        <v>150</v>
      </c>
      <c r="BT38" s="104"/>
      <c r="BU38" s="145">
        <f>(AN49)</f>
        <v>93.70416487101006</v>
      </c>
      <c r="BV38" s="238" t="s">
        <v>150</v>
      </c>
      <c r="BW38" s="238" t="s">
        <v>150</v>
      </c>
      <c r="BX38" s="104" t="s">
        <v>129</v>
      </c>
      <c r="BY38" s="104"/>
      <c r="BZ38" s="104">
        <v>0</v>
      </c>
      <c r="CA38" s="144" t="s">
        <v>49</v>
      </c>
      <c r="CB38" s="104" t="s">
        <v>26</v>
      </c>
      <c r="CC38" s="136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4">
        <v>2621687</v>
      </c>
      <c r="D39" s="137">
        <f t="shared" si="0"/>
        <v>2.151</v>
      </c>
      <c r="E39" s="139">
        <v>3.6</v>
      </c>
      <c r="F39" s="140">
        <v>0.4</v>
      </c>
      <c r="G39" s="81" t="str">
        <f t="shared" si="8"/>
        <v>0.00</v>
      </c>
      <c r="H39" s="84">
        <v>0</v>
      </c>
      <c r="I39" s="85">
        <v>0</v>
      </c>
      <c r="K39" s="86" t="s">
        <v>208</v>
      </c>
      <c r="L39" s="84">
        <v>42</v>
      </c>
      <c r="M39" s="87">
        <v>0</v>
      </c>
      <c r="O39" s="106"/>
      <c r="Q39" s="107"/>
      <c r="R39" s="152"/>
      <c r="S39" s="108"/>
      <c r="U39" s="92">
        <v>6.98</v>
      </c>
      <c r="V39" s="93">
        <v>7.06</v>
      </c>
      <c r="W39" s="94">
        <v>6.65</v>
      </c>
      <c r="Y39" s="89">
        <v>10</v>
      </c>
      <c r="Z39" s="95">
        <v>10.1</v>
      </c>
      <c r="AA39" s="91">
        <v>10.8</v>
      </c>
      <c r="AC39" s="92">
        <v>4.5</v>
      </c>
      <c r="AD39" s="90">
        <v>0</v>
      </c>
      <c r="AE39" s="96">
        <v>0</v>
      </c>
      <c r="AG39" s="45">
        <f t="shared" si="1"/>
        <v>28</v>
      </c>
      <c r="AH39" s="281"/>
      <c r="AI39" s="97"/>
      <c r="AJ39" s="55">
        <f t="shared" si="2"/>
      </c>
      <c r="AK39" s="97"/>
      <c r="AL39" s="55">
        <f t="shared" si="3"/>
      </c>
      <c r="AM39" s="97"/>
      <c r="AN39" s="55">
        <f t="shared" si="4"/>
      </c>
      <c r="AO39" s="109"/>
      <c r="AQ39" s="99"/>
      <c r="AR39" s="55">
        <f t="shared" si="5"/>
      </c>
      <c r="AS39" s="97"/>
      <c r="AT39" s="55">
        <f t="shared" si="6"/>
      </c>
      <c r="AU39" s="97"/>
      <c r="AV39" s="55">
        <f t="shared" si="7"/>
      </c>
      <c r="AX39" s="99"/>
      <c r="AY39" s="100"/>
      <c r="AZ39" s="101"/>
      <c r="BA39" s="97"/>
      <c r="BB39" s="101"/>
      <c r="BC39" s="97"/>
      <c r="BD39" s="97"/>
      <c r="BE39" s="102"/>
      <c r="BG39" s="99"/>
      <c r="BH39" s="83"/>
      <c r="BI39" s="103"/>
      <c r="BK39" s="17"/>
      <c r="BL39" s="19"/>
      <c r="BM39" s="26" t="s">
        <v>118</v>
      </c>
      <c r="BN39" s="20"/>
      <c r="BO39" s="153" t="s">
        <v>131</v>
      </c>
      <c r="BP39" s="26"/>
      <c r="BQ39" s="237" t="s">
        <v>150</v>
      </c>
      <c r="BR39" s="237" t="s">
        <v>150</v>
      </c>
      <c r="BS39" s="237" t="s">
        <v>150</v>
      </c>
      <c r="BT39" s="104"/>
      <c r="BU39" s="158">
        <v>85</v>
      </c>
      <c r="BV39" s="237" t="s">
        <v>150</v>
      </c>
      <c r="BW39" s="237" t="s">
        <v>150</v>
      </c>
      <c r="BX39" s="155" t="s">
        <v>129</v>
      </c>
      <c r="BY39" s="104"/>
      <c r="BZ39" s="237" t="s">
        <v>150</v>
      </c>
      <c r="CA39" s="157" t="s">
        <v>49</v>
      </c>
      <c r="CB39" s="155" t="s">
        <v>26</v>
      </c>
      <c r="CC39" s="136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3">
        <v>29</v>
      </c>
      <c r="C40" s="84">
        <v>2623921</v>
      </c>
      <c r="D40" s="137">
        <f t="shared" si="0"/>
        <v>2.234</v>
      </c>
      <c r="E40" s="139">
        <v>3.6</v>
      </c>
      <c r="F40" s="140">
        <v>0.4</v>
      </c>
      <c r="G40" s="81" t="str">
        <f t="shared" si="8"/>
        <v>0.00</v>
      </c>
      <c r="H40" s="84">
        <v>1200</v>
      </c>
      <c r="I40" s="85">
        <v>4000</v>
      </c>
      <c r="K40" s="86" t="s">
        <v>209</v>
      </c>
      <c r="L40" s="84">
        <v>35</v>
      </c>
      <c r="M40" s="87">
        <v>0</v>
      </c>
      <c r="O40" s="106"/>
      <c r="Q40" s="107" t="s">
        <v>15</v>
      </c>
      <c r="R40" s="152" t="s">
        <v>15</v>
      </c>
      <c r="S40" s="108" t="s">
        <v>15</v>
      </c>
      <c r="U40" s="92">
        <v>7.28</v>
      </c>
      <c r="V40" s="93">
        <v>7.16</v>
      </c>
      <c r="W40" s="94">
        <v>7.25</v>
      </c>
      <c r="Y40" s="89">
        <v>10.5</v>
      </c>
      <c r="Z40" s="95">
        <v>10.6</v>
      </c>
      <c r="AA40" s="91">
        <v>11</v>
      </c>
      <c r="AC40" s="92">
        <v>5</v>
      </c>
      <c r="AD40" s="90">
        <v>0.01</v>
      </c>
      <c r="AE40" s="96">
        <v>0</v>
      </c>
      <c r="AG40" s="45">
        <f t="shared" si="1"/>
        <v>29</v>
      </c>
      <c r="AH40" s="281"/>
      <c r="AI40" s="97"/>
      <c r="AJ40" s="55">
        <f t="shared" si="2"/>
      </c>
      <c r="AK40" s="97"/>
      <c r="AL40" s="55">
        <f t="shared" si="3"/>
      </c>
      <c r="AM40" s="97"/>
      <c r="AN40" s="55">
        <f t="shared" si="4"/>
      </c>
      <c r="AO40" s="109"/>
      <c r="AQ40" s="99"/>
      <c r="AR40" s="55">
        <f t="shared" si="5"/>
      </c>
      <c r="AS40" s="97"/>
      <c r="AT40" s="55">
        <f t="shared" si="6"/>
      </c>
      <c r="AU40" s="97"/>
      <c r="AV40" s="55">
        <f t="shared" si="7"/>
      </c>
      <c r="AX40" s="99">
        <v>56271</v>
      </c>
      <c r="AY40" s="100">
        <v>1</v>
      </c>
      <c r="AZ40" s="101">
        <v>3.5</v>
      </c>
      <c r="BA40" s="97">
        <v>34.1</v>
      </c>
      <c r="BB40" s="101">
        <v>27</v>
      </c>
      <c r="BC40" s="97">
        <v>12</v>
      </c>
      <c r="BD40" s="97"/>
      <c r="BE40" s="102"/>
      <c r="BG40" s="99">
        <v>12</v>
      </c>
      <c r="BH40" s="83" t="s">
        <v>215</v>
      </c>
      <c r="BI40" s="103" t="s">
        <v>216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3">
        <v>30</v>
      </c>
      <c r="C41" s="84">
        <v>2626254</v>
      </c>
      <c r="D41" s="137">
        <f t="shared" si="0"/>
        <v>2.333</v>
      </c>
      <c r="E41" s="139">
        <v>4</v>
      </c>
      <c r="F41" s="140">
        <v>0.4</v>
      </c>
      <c r="G41" s="81" t="str">
        <f t="shared" si="8"/>
        <v>0.00</v>
      </c>
      <c r="H41" s="84">
        <v>6500</v>
      </c>
      <c r="I41" s="85">
        <v>8000</v>
      </c>
      <c r="K41" s="86" t="s">
        <v>208</v>
      </c>
      <c r="L41" s="84">
        <v>35</v>
      </c>
      <c r="M41" s="87">
        <v>0</v>
      </c>
      <c r="O41" s="106"/>
      <c r="Q41" s="107"/>
      <c r="R41" s="152"/>
      <c r="S41" s="108"/>
      <c r="U41" s="92">
        <v>7.39</v>
      </c>
      <c r="V41" s="93">
        <v>7.18</v>
      </c>
      <c r="W41" s="94">
        <v>7.43</v>
      </c>
      <c r="Y41" s="89">
        <v>11.2</v>
      </c>
      <c r="Z41" s="95">
        <v>10.8</v>
      </c>
      <c r="AA41" s="91">
        <v>10.9</v>
      </c>
      <c r="AC41" s="92">
        <v>6.5</v>
      </c>
      <c r="AD41" s="90">
        <v>0</v>
      </c>
      <c r="AE41" s="96">
        <v>0</v>
      </c>
      <c r="AG41" s="45">
        <f t="shared" si="1"/>
        <v>30</v>
      </c>
      <c r="AH41" s="281"/>
      <c r="AI41" s="97"/>
      <c r="AJ41" s="55">
        <f t="shared" si="2"/>
      </c>
      <c r="AK41" s="97"/>
      <c r="AL41" s="55">
        <f t="shared" si="3"/>
      </c>
      <c r="AM41" s="97"/>
      <c r="AN41" s="55">
        <f t="shared" si="4"/>
      </c>
      <c r="AO41" s="109"/>
      <c r="AQ41" s="99"/>
      <c r="AR41" s="55">
        <f t="shared" si="5"/>
      </c>
      <c r="AS41" s="97"/>
      <c r="AT41" s="55">
        <f t="shared" si="6"/>
      </c>
      <c r="AU41" s="97"/>
      <c r="AV41" s="55">
        <f t="shared" si="7"/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3">
        <v>31</v>
      </c>
      <c r="C42" s="112">
        <v>2628497</v>
      </c>
      <c r="D42" s="138">
        <f t="shared" si="0"/>
        <v>2.243</v>
      </c>
      <c r="E42" s="141">
        <v>4.4</v>
      </c>
      <c r="F42" s="142">
        <v>0.6</v>
      </c>
      <c r="G42" s="183" t="str">
        <f t="shared" si="8"/>
        <v>0.00</v>
      </c>
      <c r="H42" s="112">
        <v>1000</v>
      </c>
      <c r="I42" s="113">
        <v>4250</v>
      </c>
      <c r="K42" s="114" t="s">
        <v>208</v>
      </c>
      <c r="L42" s="112">
        <v>39</v>
      </c>
      <c r="M42" s="115">
        <v>0.2</v>
      </c>
      <c r="O42" s="116"/>
      <c r="Q42" s="132"/>
      <c r="R42" s="111"/>
      <c r="S42" s="113"/>
      <c r="U42" s="133">
        <v>7.1</v>
      </c>
      <c r="V42" s="134">
        <v>7.12</v>
      </c>
      <c r="W42" s="135">
        <v>7.28</v>
      </c>
      <c r="Y42" s="132">
        <v>10.6</v>
      </c>
      <c r="Z42" s="112">
        <v>10.6</v>
      </c>
      <c r="AA42" s="113">
        <v>11.3</v>
      </c>
      <c r="AC42" s="133">
        <v>5.5</v>
      </c>
      <c r="AD42" s="111">
        <v>0</v>
      </c>
      <c r="AE42" s="115">
        <v>0</v>
      </c>
      <c r="AG42" s="45">
        <f t="shared" si="1"/>
        <v>31</v>
      </c>
      <c r="AH42" s="281"/>
      <c r="AI42" s="125">
        <v>274</v>
      </c>
      <c r="AJ42" s="65">
        <f t="shared" si="2"/>
        <v>5125.61388</v>
      </c>
      <c r="AK42" s="125"/>
      <c r="AL42" s="65">
        <f t="shared" si="3"/>
      </c>
      <c r="AM42" s="125">
        <v>18</v>
      </c>
      <c r="AN42" s="65">
        <f t="shared" si="4"/>
        <v>336.71915999999993</v>
      </c>
      <c r="AO42" s="126">
        <v>14</v>
      </c>
      <c r="AQ42" s="127">
        <v>258</v>
      </c>
      <c r="AR42" s="65">
        <f t="shared" si="5"/>
        <v>4826.307959999999</v>
      </c>
      <c r="AS42" s="125"/>
      <c r="AT42" s="65">
        <f t="shared" si="6"/>
      </c>
      <c r="AU42" s="125">
        <v>24</v>
      </c>
      <c r="AV42" s="65">
        <f t="shared" si="7"/>
        <v>448.95887999999997</v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8" t="s">
        <v>150</v>
      </c>
      <c r="BR43" s="238" t="s">
        <v>150</v>
      </c>
      <c r="BS43" s="238" t="s">
        <v>150</v>
      </c>
      <c r="BT43" s="104"/>
      <c r="BU43" s="145">
        <f>(AU49)</f>
        <v>88.91025641025642</v>
      </c>
      <c r="BV43" s="238" t="s">
        <v>150</v>
      </c>
      <c r="BW43" s="238" t="s">
        <v>150</v>
      </c>
      <c r="BX43" s="104" t="s">
        <v>129</v>
      </c>
      <c r="BY43" s="104"/>
      <c r="BZ43" s="104">
        <v>0</v>
      </c>
      <c r="CA43" s="144" t="s">
        <v>49</v>
      </c>
      <c r="CB43" s="104" t="s">
        <v>26</v>
      </c>
      <c r="CC43" s="136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8">
        <f>(IF(((SUM(C12:C42))=0)," ",((MAX(C12:C42))-C11)))</f>
        <v>65290</v>
      </c>
      <c r="D44" s="227">
        <f>(IF(((SUM(D12:D42))=0)," ",(SUM(D12:D42))))</f>
        <v>65.29000000000002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70400</v>
      </c>
      <c r="I44" s="195">
        <f>(IF(((SUM(I12:I42))=0)," ",(SUM(I12:I42))))</f>
        <v>95800</v>
      </c>
      <c r="K44" s="199" t="s">
        <v>150</v>
      </c>
      <c r="L44" s="200" t="s">
        <v>150</v>
      </c>
      <c r="M44" s="201">
        <f>(IF(((SUM(M12:M42))=0)," ",(SUM(M11:M42))))</f>
        <v>1.57</v>
      </c>
      <c r="O44" s="202">
        <f>(IF(((SUM(O12:O42))=0),"0.0",(SUM(O11:O42))))</f>
        <v>4</v>
      </c>
      <c r="Q44" s="198" t="str">
        <f>(IF(((SUM(Q12:Q42))=0),"0",(SUM(Q11:Q42))))</f>
        <v>0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460628</v>
      </c>
      <c r="AY44" s="200" t="s">
        <v>150</v>
      </c>
      <c r="AZ44" s="211">
        <f>(IF(((SUM(AZ12:AZ42))=0)," ",(SUM(AZ12:AZ42))))</f>
        <v>31.75</v>
      </c>
      <c r="BA44" s="198">
        <f>(IF(((SUM(BA12:BA42))=0)," ",(SUM(BA12:BA42))))</f>
        <v>294.50000000000006</v>
      </c>
      <c r="BB44" s="206" t="s">
        <v>150</v>
      </c>
      <c r="BC44" s="198">
        <f>(IF(((SUM(BC12:BC42))=0)," ",(SUM(BC12:BC42))))</f>
        <v>180</v>
      </c>
      <c r="BD44" s="188" t="str">
        <f>(IF(((SUM(BD12:BD42))=0)," ",(SUM(BD12:BD42))))</f>
        <v> </v>
      </c>
      <c r="BE44" s="209" t="s">
        <v>150</v>
      </c>
      <c r="BG44" s="212">
        <f>(IF(((SUM(BG12:BG42))=0)," ",(SUM(BG12:BG42))))</f>
        <v>180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37" t="s">
        <v>150</v>
      </c>
      <c r="BR44" s="237" t="s">
        <v>150</v>
      </c>
      <c r="BS44" s="237" t="s">
        <v>150</v>
      </c>
      <c r="BT44" s="104"/>
      <c r="BU44" s="158">
        <v>85</v>
      </c>
      <c r="BV44" s="237" t="s">
        <v>150</v>
      </c>
      <c r="BW44" s="237" t="s">
        <v>150</v>
      </c>
      <c r="BX44" s="155" t="s">
        <v>129</v>
      </c>
      <c r="BY44" s="104"/>
      <c r="BZ44" s="237" t="s">
        <v>150</v>
      </c>
      <c r="CA44" s="157" t="s">
        <v>49</v>
      </c>
      <c r="CB44" s="155" t="s">
        <v>26</v>
      </c>
      <c r="CC44" s="136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2.361</v>
      </c>
      <c r="E45" s="215">
        <f>(IF((SUM(E12:E42))=0," ",(MAX(E12:E42))))</f>
        <v>4.4</v>
      </c>
      <c r="F45" s="216">
        <f>(IF((SUM(F12:F42))=0," ",(MAX(F12:F42))))</f>
        <v>1</v>
      </c>
      <c r="G45" s="215">
        <f>(MAX(G12:G42))</f>
        <v>0</v>
      </c>
      <c r="H45" s="161">
        <f>(IF((SUM(H12:H42))=0," ",(MAX(H12:H42))))</f>
        <v>6600</v>
      </c>
      <c r="I45" s="162">
        <f>(IF((SUM(I12:I42))=0," ",(MAX(I12:I42))))</f>
        <v>8500</v>
      </c>
      <c r="K45" s="179" t="s">
        <v>150</v>
      </c>
      <c r="L45" s="182">
        <f>(IF((SUM(L12:L42))=0," ",(MAX(L12:L42))))</f>
        <v>46</v>
      </c>
      <c r="M45" s="218">
        <f>(IF((SUM(M12:M42))=0," ",(MAX(M12:M42))))</f>
        <v>0.54</v>
      </c>
      <c r="O45" s="219" t="s">
        <v>150</v>
      </c>
      <c r="Q45" s="220" t="s">
        <v>150</v>
      </c>
      <c r="R45" s="232" t="str">
        <f>(IF(((SUM(R12:R42))=0),"-",(MAX(R12:R42))))</f>
        <v>-</v>
      </c>
      <c r="S45" s="233" t="str">
        <f>(IF(((SUM(S12:S42))=0),"-",(MAX(S12:S42))))</f>
        <v>-</v>
      </c>
      <c r="U45" s="221">
        <f>(IF((SUM(U12:U42))=0," ",(MAX(U12:U42))))</f>
        <v>7.7</v>
      </c>
      <c r="V45" s="182">
        <f>(IF((SUM(V12:V42))=0," ",(MAX(V12:V42))))</f>
        <v>7.33</v>
      </c>
      <c r="W45" s="222">
        <f>(IF((SUM(W12:W42))=0," ",(MAX(W12:W42))))</f>
        <v>8.21</v>
      </c>
      <c r="Y45" s="217">
        <f>(IF((SUM(Y12:Y42))=0," ",(MAX(Y12:Y42))))</f>
        <v>11.6</v>
      </c>
      <c r="Z45" s="161">
        <f>(IF((SUM(Z12:Z42))=0," ",(MAX(Z12:Z42))))</f>
        <v>10.9</v>
      </c>
      <c r="AA45" s="162">
        <f>(IF((SUM(AA12:AA42))=0," ",(MAX(AA12:AA42))))</f>
        <v>11.5</v>
      </c>
      <c r="AC45" s="221">
        <f>(IF((SUM(AC12:AC42))=0," ",(MAX(AC12:AC42))))</f>
        <v>12</v>
      </c>
      <c r="AD45" s="183">
        <f>(IF((SUM(AD12:AD42))=0," ",(MAX(AD12:AD42))))</f>
        <v>0.1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345</v>
      </c>
      <c r="AJ45" s="161">
        <f t="shared" si="9"/>
        <v>6232.2318</v>
      </c>
      <c r="AK45" s="217">
        <f t="shared" si="9"/>
        <v>236</v>
      </c>
      <c r="AL45" s="162">
        <f t="shared" si="9"/>
        <v>4300.604399999999</v>
      </c>
      <c r="AM45" s="217">
        <f t="shared" si="9"/>
        <v>24</v>
      </c>
      <c r="AN45" s="162">
        <f t="shared" si="9"/>
        <v>427.74192</v>
      </c>
      <c r="AO45" s="223">
        <f t="shared" si="9"/>
        <v>22</v>
      </c>
      <c r="AQ45" s="217">
        <f aca="true" t="shared" si="10" ref="AQ45:AV45">(IF((SUM(AQ12:AQ42))=0," ",(MAX(AQ12:AQ42))))</f>
        <v>300</v>
      </c>
      <c r="AR45" s="162">
        <f t="shared" si="10"/>
        <v>5216.67</v>
      </c>
      <c r="AS45" s="217">
        <f t="shared" si="10"/>
        <v>106</v>
      </c>
      <c r="AT45" s="162">
        <f t="shared" si="10"/>
        <v>1931.6274</v>
      </c>
      <c r="AU45" s="217">
        <f t="shared" si="10"/>
        <v>43</v>
      </c>
      <c r="AV45" s="162">
        <f t="shared" si="10"/>
        <v>783.5847</v>
      </c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29</v>
      </c>
      <c r="BC45" s="220" t="s">
        <v>150</v>
      </c>
      <c r="BD45" s="178" t="s">
        <v>150</v>
      </c>
      <c r="BE45" s="218" t="str">
        <f>(IF((SUM(BE12:BE42))=0," ",(MAX(BE12:BE42))))</f>
        <v> </v>
      </c>
      <c r="BG45" s="225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1.948</v>
      </c>
      <c r="E46" s="226">
        <f>(IF((SUM(E12:E42))=0," ",(MIN(E12:E42))))</f>
        <v>3.4</v>
      </c>
      <c r="F46" s="227">
        <f>(IF((SUM(F12:F42))=0," ",(MIN(F12:F42))))</f>
        <v>0.4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23</v>
      </c>
      <c r="M46" s="201">
        <f>(IF((SUM(M12:M42))=0," ",(MIN(M12:M42))))</f>
        <v>0</v>
      </c>
      <c r="O46" s="228" t="s">
        <v>150</v>
      </c>
      <c r="Q46" s="207" t="s">
        <v>150</v>
      </c>
      <c r="R46" s="203" t="str">
        <f>(IF(((SUM(R12:R42))=0),"-",(MIN(R12:R42))))</f>
        <v>-</v>
      </c>
      <c r="S46" s="204" t="str">
        <f>(IF(((SUM(S12:S42))=0),"-",(MIN(S12:S42))))</f>
        <v>-</v>
      </c>
      <c r="U46" s="229">
        <f>(IF((SUM(U12:U42))=0," ",(MIN(U12:U42))))</f>
        <v>6.98</v>
      </c>
      <c r="V46" s="191">
        <f>(IF((SUM(V12:V42))=0," ",(MIN(V12:V42))))</f>
        <v>6.7</v>
      </c>
      <c r="W46" s="211">
        <f>(IF((SUM(W12:W42))=0," ",(MIN(W12:W42))))</f>
        <v>6.02</v>
      </c>
      <c r="Y46" s="198">
        <f aca="true" t="shared" si="11" ref="Y46:AD46">(IF((SUM(Y12:Y42))=0," ",(MIN(Y12:Y42))))</f>
        <v>10</v>
      </c>
      <c r="Z46" s="188">
        <f t="shared" si="11"/>
        <v>9.5</v>
      </c>
      <c r="AA46" s="195">
        <f t="shared" si="11"/>
        <v>9.2</v>
      </c>
      <c r="AB46" t="str">
        <f t="shared" si="11"/>
        <v> </v>
      </c>
      <c r="AC46" s="229">
        <f t="shared" si="11"/>
        <v>2.5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242</v>
      </c>
      <c r="AJ46" s="188">
        <f t="shared" si="12"/>
        <v>4072.8890399999996</v>
      </c>
      <c r="AK46" s="198">
        <f t="shared" si="12"/>
        <v>178</v>
      </c>
      <c r="AL46" s="195">
        <f t="shared" si="12"/>
        <v>3044.75052</v>
      </c>
      <c r="AM46" s="198">
        <f t="shared" si="12"/>
        <v>15</v>
      </c>
      <c r="AN46" s="195">
        <f t="shared" si="12"/>
        <v>249.07410000000002</v>
      </c>
      <c r="AO46" s="230">
        <f t="shared" si="12"/>
        <v>9</v>
      </c>
      <c r="AQ46" s="198">
        <f aca="true" t="shared" si="13" ref="AQ46:AV46">(IF((SUM(AQ12:AQ42))=0," ",(MIN(AQ12:AQ42))))</f>
        <v>190</v>
      </c>
      <c r="AR46" s="195">
        <f t="shared" si="13"/>
        <v>3228.414</v>
      </c>
      <c r="AS46" s="198">
        <f t="shared" si="13"/>
        <v>81</v>
      </c>
      <c r="AT46" s="195">
        <f t="shared" si="13"/>
        <v>1438.22466</v>
      </c>
      <c r="AU46" s="198">
        <f t="shared" si="13"/>
        <v>20</v>
      </c>
      <c r="AV46" s="195">
        <f t="shared" si="13"/>
        <v>348.5286</v>
      </c>
      <c r="AX46" s="207" t="s">
        <v>150</v>
      </c>
      <c r="AY46" s="191">
        <f>(IF((SUM(AY12:AY42))=0," ",(MIN(AY12:AY42))))</f>
        <v>1</v>
      </c>
      <c r="AZ46" s="206" t="s">
        <v>150</v>
      </c>
      <c r="BA46" s="207" t="s">
        <v>150</v>
      </c>
      <c r="BB46" s="211">
        <f>(IF((SUM(BB12:BB42))=0," ",(MIN(BB12:BB42))))</f>
        <v>24</v>
      </c>
      <c r="BC46" s="207" t="s">
        <v>150</v>
      </c>
      <c r="BD46" s="208" t="s">
        <v>150</v>
      </c>
      <c r="BE46" s="201" t="str">
        <f>(IF((SUM(BE12:BE42))=0," ",(MIN(BE12:BE42))))</f>
        <v> </v>
      </c>
      <c r="BG46" s="231" t="s">
        <v>150</v>
      </c>
      <c r="BH46" s="213" t="s">
        <v>150</v>
      </c>
      <c r="BI46" s="214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2.1061290322580652</v>
      </c>
      <c r="E47" s="215">
        <f>(IF((SUM(E12:E42))=0," ",(AVERAGE(E12:E42))))</f>
        <v>3.803225806451612</v>
      </c>
      <c r="F47" s="216">
        <f>(IF((SUM(F12:F42))=0," ",(AVERAGE(F12:F42))))</f>
        <v>0.4322580645161292</v>
      </c>
      <c r="G47" s="215" t="str">
        <f>(IF((SUM(G12:G42))=0,"0.000",(AVERAGE(G12:G42))))</f>
        <v>0.000</v>
      </c>
      <c r="H47" s="161">
        <f>(IF((SUM(H12:H42))=0," ",(AVERAGE(H12:H42))))</f>
        <v>2270.967741935484</v>
      </c>
      <c r="I47" s="162">
        <f>(IF((SUM(I12:I42))=0," ",(AVERAGE(I12:I42))))</f>
        <v>3090.3225806451615</v>
      </c>
      <c r="K47" s="179" t="s">
        <v>150</v>
      </c>
      <c r="L47" s="182">
        <f>(IF((SUM(L12:L42))=0," ",(AVERAGE(L12:L42))))</f>
        <v>34.70967741935484</v>
      </c>
      <c r="M47" s="218">
        <f>(IF((SUM(M12:M42))=0," ",(AVERAGE(M12:M42))))</f>
        <v>0.05064516129032258</v>
      </c>
      <c r="O47" s="219" t="s">
        <v>150</v>
      </c>
      <c r="Q47" s="217" t="str">
        <f>(IF((SUM(Q12:Q42))=0," ",(AVERAGE(Q12:Q42))))</f>
        <v> </v>
      </c>
      <c r="R47" s="232" t="s">
        <v>150</v>
      </c>
      <c r="S47" s="233" t="s">
        <v>150</v>
      </c>
      <c r="U47" s="221">
        <f>(IF((SUM(U12:U42))=0," ",(AVERAGE(U12:U42))))</f>
        <v>7.293225806451613</v>
      </c>
      <c r="V47" s="182">
        <f>(IF((SUM(V12:V42))=0," ",(AVERAGE(V12:V42))))</f>
        <v>7.167096774193547</v>
      </c>
      <c r="W47" s="222">
        <f>(IF((SUM(W12:W42))=0," ",(AVERAGE(W12:W42))))</f>
        <v>6.737096774193551</v>
      </c>
      <c r="Y47" s="217">
        <f>(IF((SUM(Y12:Y42))=0," ",(AVERAGE(Y12:Y42))))</f>
        <v>10.551612903225806</v>
      </c>
      <c r="Z47" s="161">
        <f>(IF((SUM(Z12:Z42))=0," ",(AVERAGE(Z12:Z42))))</f>
        <v>10.267741935483873</v>
      </c>
      <c r="AA47" s="162">
        <f>(IF((SUM(AA12:AA42))=0," ",(AVERAGE(AA12:AA42))))</f>
        <v>10.596774193548386</v>
      </c>
      <c r="AC47" s="221">
        <f>(IF((SUM(AC12:AC42))=0," ",(AVERAGE(AC12:AC42))))</f>
        <v>6.548387096774194</v>
      </c>
      <c r="AD47" s="183">
        <f>(IF((SUM(AD12:AD42))=0," ",(AVERAGE(AD12:AD42))))</f>
        <v>0.015483870967741939</v>
      </c>
      <c r="AE47" s="218">
        <f>(IF((COUNT(AE12:AE42))=0," ",(AVERAGE(AE12:AE42))))</f>
        <v>0.000967741935483871</v>
      </c>
      <c r="AG47" s="26" t="str">
        <f>($A47)</f>
        <v>Average</v>
      </c>
      <c r="AI47" s="161">
        <f aca="true" t="shared" si="14" ref="AI47:AO47">(IF((SUM(AI12:AI42))=0," ",(AVERAGE(AI12:AI42))))</f>
        <v>296.3076923076923</v>
      </c>
      <c r="AJ47" s="161">
        <f t="shared" si="14"/>
        <v>5242.9717938461545</v>
      </c>
      <c r="AK47" s="217">
        <f t="shared" si="14"/>
        <v>200</v>
      </c>
      <c r="AL47" s="162">
        <f t="shared" si="14"/>
        <v>3602.3462399999994</v>
      </c>
      <c r="AM47" s="217">
        <f t="shared" si="14"/>
        <v>18.615384615384617</v>
      </c>
      <c r="AN47" s="162">
        <f t="shared" si="14"/>
        <v>330.08885999999995</v>
      </c>
      <c r="AO47" s="223">
        <f t="shared" si="14"/>
        <v>14.153846153846153</v>
      </c>
      <c r="AQ47" s="217">
        <f aca="true" t="shared" si="15" ref="AQ47:AV47">(IF((SUM(AQ12:AQ42))=0," ",(AVERAGE(AQ12:AQ42))))</f>
        <v>240</v>
      </c>
      <c r="AR47" s="162">
        <f t="shared" si="15"/>
        <v>4250.559267692308</v>
      </c>
      <c r="AS47" s="217">
        <f t="shared" si="15"/>
        <v>90.5</v>
      </c>
      <c r="AT47" s="162">
        <f t="shared" si="15"/>
        <v>1629.7902900000001</v>
      </c>
      <c r="AU47" s="217">
        <f t="shared" si="15"/>
        <v>26.615384615384617</v>
      </c>
      <c r="AV47" s="162">
        <f t="shared" si="15"/>
        <v>471.7123246153846</v>
      </c>
      <c r="AX47" s="217">
        <f aca="true" t="shared" si="16" ref="AX47:BE47">(IF((SUM(AX12:AX42))=0," ",(AVERAGE(AX12:AX42))))</f>
        <v>51180.88888888889</v>
      </c>
      <c r="AY47" s="182">
        <f t="shared" si="16"/>
        <v>2.4444444444444446</v>
      </c>
      <c r="AZ47" s="222">
        <f t="shared" si="16"/>
        <v>3.5277777777777777</v>
      </c>
      <c r="BA47" s="217">
        <f t="shared" si="16"/>
        <v>32.72222222222223</v>
      </c>
      <c r="BB47" s="222">
        <f t="shared" si="16"/>
        <v>26.333333333333332</v>
      </c>
      <c r="BC47" s="217">
        <f t="shared" si="16"/>
        <v>20</v>
      </c>
      <c r="BD47" s="161" t="str">
        <f t="shared" si="16"/>
        <v> </v>
      </c>
      <c r="BE47" s="218" t="str">
        <f t="shared" si="16"/>
        <v> </v>
      </c>
      <c r="BG47" s="132">
        <f>(IF((SUM(BG12:BG42))=0," ",(AVERAGE(BG12:BG42))))</f>
        <v>18</v>
      </c>
      <c r="BH47" s="180" t="s">
        <v>150</v>
      </c>
      <c r="BI47" s="181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41" t="str">
        <f>(IF(((SUM(S12:S42))=0),"-",(GEOMEAN(S12:S42))))</f>
        <v>-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93.70416487101006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88.91025641025642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 t="s">
        <v>218</v>
      </c>
      <c r="AI51" s="286" t="s">
        <v>219</v>
      </c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4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82"/>
      <c r="BM53" s="281"/>
      <c r="BN53" s="282"/>
      <c r="BO53" s="281"/>
      <c r="BP53" s="282"/>
      <c r="BQ53" s="281"/>
      <c r="BR53" s="281"/>
      <c r="BS53" s="281"/>
      <c r="BT53" s="282"/>
      <c r="BU53" s="281"/>
      <c r="BV53" s="281"/>
      <c r="BW53" s="281"/>
      <c r="BX53" s="281"/>
      <c r="BY53" s="282"/>
      <c r="BZ53" s="281"/>
      <c r="CA53" s="281"/>
      <c r="CB53" s="281"/>
      <c r="CC53" s="282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4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82"/>
      <c r="BM54" s="281"/>
      <c r="BN54" s="282"/>
      <c r="BO54" s="281"/>
      <c r="BP54" s="282"/>
      <c r="BQ54" s="281"/>
      <c r="BR54" s="281"/>
      <c r="BS54" s="281"/>
      <c r="BT54" s="282"/>
      <c r="BU54" s="281"/>
      <c r="BV54" s="281"/>
      <c r="BW54" s="281"/>
      <c r="BX54" s="281"/>
      <c r="BY54" s="282"/>
      <c r="BZ54" s="281"/>
      <c r="CA54" s="281"/>
      <c r="CB54" s="281"/>
      <c r="CC54" s="282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4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4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4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4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4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4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60" r:id="rId1"/>
  <colBreaks count="2" manualBreakCount="2">
    <brk id="32" max="50" man="1"/>
    <brk id="6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194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April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April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0">
        <v>2628497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4">
        <v>2631436</v>
      </c>
      <c r="D12" s="137">
        <f aca="true" t="shared" si="0" ref="D12:D42">(IF(C12=0," ",((C12-C11)/1000)))</f>
        <v>2.939</v>
      </c>
      <c r="E12" s="139">
        <v>3.8</v>
      </c>
      <c r="F12" s="140">
        <v>0.6</v>
      </c>
      <c r="G12" s="81" t="str">
        <f>(IF(C12=0," ","0.00"))</f>
        <v>0.00</v>
      </c>
      <c r="H12" s="84">
        <v>2000</v>
      </c>
      <c r="I12" s="85">
        <v>6250</v>
      </c>
      <c r="K12" s="86" t="s">
        <v>208</v>
      </c>
      <c r="L12" s="84">
        <v>41.3</v>
      </c>
      <c r="M12" s="87">
        <v>0.12</v>
      </c>
      <c r="O12" s="88"/>
      <c r="Q12" s="89"/>
      <c r="R12" s="90"/>
      <c r="S12" s="91"/>
      <c r="U12" s="92">
        <v>7.44</v>
      </c>
      <c r="V12" s="93">
        <v>7.12</v>
      </c>
      <c r="W12" s="94">
        <v>6.99</v>
      </c>
      <c r="Y12" s="89">
        <v>10.6</v>
      </c>
      <c r="Z12" s="95">
        <v>10.5</v>
      </c>
      <c r="AA12" s="91">
        <v>11.6</v>
      </c>
      <c r="AC12" s="92">
        <v>7</v>
      </c>
      <c r="AD12" s="90">
        <v>0</v>
      </c>
      <c r="AE12" s="96">
        <v>0</v>
      </c>
      <c r="AG12" s="45">
        <f aca="true" t="shared" si="1" ref="AG12:AG42">($A12)</f>
        <v>1</v>
      </c>
      <c r="AH12" s="281"/>
      <c r="AI12" s="97">
        <v>223</v>
      </c>
      <c r="AJ12" s="55">
        <f aca="true" t="shared" si="2" ref="AJ12:AJ42">IF(AI12=0,"",(D12*AI12*8.34))</f>
        <v>5466.01098</v>
      </c>
      <c r="AK12" s="97"/>
      <c r="AL12" s="55">
        <f aca="true" t="shared" si="3" ref="AL12:AL42">IF(AK12=0,"",(D12*AK12*8.34))</f>
      </c>
      <c r="AM12" s="97">
        <v>21</v>
      </c>
      <c r="AN12" s="55">
        <f aca="true" t="shared" si="4" ref="AN12:AN42">IF(AM12=0,"",(D12*AM12*8.34))</f>
        <v>514.73646</v>
      </c>
      <c r="AO12" s="98">
        <v>15</v>
      </c>
      <c r="AQ12" s="99">
        <v>228</v>
      </c>
      <c r="AR12" s="55">
        <f aca="true" t="shared" si="5" ref="AR12:AR42">IF(AQ12=0,"",(D12*AQ12*8.34))</f>
        <v>5588.56728</v>
      </c>
      <c r="AS12" s="97"/>
      <c r="AT12" s="55">
        <f aca="true" t="shared" si="6" ref="AT12:AT42">IF(AS12=0,"",(D12*AS12*8.34))</f>
      </c>
      <c r="AU12" s="97">
        <v>31</v>
      </c>
      <c r="AV12" s="55">
        <f aca="true" t="shared" si="7" ref="AV12:AV42">IF(AU12=0,"",(D12*AU12*8.34))</f>
        <v>759.84906</v>
      </c>
      <c r="AX12" s="99">
        <v>54732</v>
      </c>
      <c r="AY12" s="100">
        <v>3</v>
      </c>
      <c r="AZ12" s="101">
        <v>3.5</v>
      </c>
      <c r="BA12" s="97">
        <v>34.1</v>
      </c>
      <c r="BB12" s="101">
        <v>27</v>
      </c>
      <c r="BC12" s="97">
        <v>24</v>
      </c>
      <c r="BD12" s="97"/>
      <c r="BE12" s="102"/>
      <c r="BG12" s="99">
        <v>24</v>
      </c>
      <c r="BH12" s="83" t="s">
        <v>210</v>
      </c>
      <c r="BI12" s="103" t="s">
        <v>211</v>
      </c>
      <c r="BK12" s="17"/>
      <c r="BL12" s="19"/>
      <c r="BM12" s="56" t="s">
        <v>117</v>
      </c>
      <c r="BN12" s="20"/>
      <c r="BO12" s="57" t="s">
        <v>130</v>
      </c>
      <c r="BP12" s="26"/>
      <c r="BQ12" s="149">
        <f>(IF(((SUM(AN12:AN42))=0)," ",(AVERAGE(AN12:AN42))))</f>
        <v>495.77606571428583</v>
      </c>
      <c r="BR12" s="149">
        <f>MAX(AN12:AN42)</f>
        <v>714.33768</v>
      </c>
      <c r="BS12" s="104" t="s">
        <v>126</v>
      </c>
      <c r="BT12" s="104"/>
      <c r="BU12" s="149">
        <f>(IF(((SUM(AM12:AM42))=0)," ",(AVERAGE(AM12:AM42))))</f>
        <v>19.285714285714285</v>
      </c>
      <c r="BV12" s="143">
        <f>(CG23)</f>
        <v>21.333333333333332</v>
      </c>
      <c r="BW12" s="149">
        <f>MAX(AM12:AM42)</f>
        <v>24</v>
      </c>
      <c r="BX12" s="104" t="s">
        <v>128</v>
      </c>
      <c r="BY12" s="104"/>
      <c r="BZ12" s="104">
        <v>0</v>
      </c>
      <c r="CA12" s="144" t="s">
        <v>47</v>
      </c>
      <c r="CB12" s="104">
        <v>24</v>
      </c>
      <c r="CC12" s="136"/>
      <c r="CE12" s="24"/>
      <c r="CF12" s="20" t="s">
        <v>138</v>
      </c>
      <c r="CG12" s="105">
        <v>19</v>
      </c>
      <c r="CH12" s="105">
        <v>415</v>
      </c>
      <c r="CI12" s="105"/>
      <c r="CJ12" s="105">
        <v>27</v>
      </c>
      <c r="CK12" s="105">
        <v>575</v>
      </c>
      <c r="CL12" s="239"/>
      <c r="CM12" s="151">
        <f>(AVERAGE(AE12:AE14))</f>
        <v>0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4">
        <v>2633917</v>
      </c>
      <c r="D13" s="137">
        <f t="shared" si="0"/>
        <v>2.481</v>
      </c>
      <c r="E13" s="139">
        <v>4.4</v>
      </c>
      <c r="F13" s="140">
        <v>1.2</v>
      </c>
      <c r="G13" s="81" t="str">
        <f aca="true" t="shared" si="8" ref="G13:G42">(IF(C13=0," ","0.00"))</f>
        <v>0.00</v>
      </c>
      <c r="H13" s="84">
        <v>3100</v>
      </c>
      <c r="I13" s="85">
        <v>6500</v>
      </c>
      <c r="K13" s="86" t="s">
        <v>208</v>
      </c>
      <c r="L13" s="84">
        <v>37</v>
      </c>
      <c r="M13" s="87">
        <v>1.21</v>
      </c>
      <c r="O13" s="106"/>
      <c r="Q13" s="107"/>
      <c r="R13" s="152"/>
      <c r="S13" s="108"/>
      <c r="U13" s="92">
        <v>7.08</v>
      </c>
      <c r="V13" s="93">
        <v>7.09</v>
      </c>
      <c r="W13" s="94">
        <v>6.51</v>
      </c>
      <c r="Y13" s="89">
        <v>10.2</v>
      </c>
      <c r="Z13" s="95">
        <v>9.8</v>
      </c>
      <c r="AA13" s="91">
        <v>11.4</v>
      </c>
      <c r="AC13" s="92">
        <v>3.5</v>
      </c>
      <c r="AD13" s="90">
        <v>0.01</v>
      </c>
      <c r="AE13" s="96">
        <v>0</v>
      </c>
      <c r="AG13" s="45">
        <f t="shared" si="1"/>
        <v>2</v>
      </c>
      <c r="AH13" s="281"/>
      <c r="AI13" s="97">
        <v>243</v>
      </c>
      <c r="AJ13" s="55">
        <f t="shared" si="2"/>
        <v>5028.044219999999</v>
      </c>
      <c r="AK13" s="97">
        <v>180</v>
      </c>
      <c r="AL13" s="55">
        <f t="shared" si="3"/>
        <v>3724.4772</v>
      </c>
      <c r="AM13" s="97">
        <v>19</v>
      </c>
      <c r="AN13" s="55">
        <f t="shared" si="4"/>
        <v>393.13926</v>
      </c>
      <c r="AO13" s="109">
        <v>14</v>
      </c>
      <c r="AQ13" s="99">
        <v>258</v>
      </c>
      <c r="AR13" s="55">
        <f t="shared" si="5"/>
        <v>5338.41732</v>
      </c>
      <c r="AS13" s="97">
        <v>71</v>
      </c>
      <c r="AT13" s="55">
        <f t="shared" si="6"/>
        <v>1469.0993399999998</v>
      </c>
      <c r="AU13" s="97">
        <v>25</v>
      </c>
      <c r="AV13" s="55">
        <f t="shared" si="7"/>
        <v>517.2885</v>
      </c>
      <c r="AX13" s="99"/>
      <c r="AY13" s="100"/>
      <c r="AZ13" s="101"/>
      <c r="BA13" s="97"/>
      <c r="BB13" s="101"/>
      <c r="BC13" s="97"/>
      <c r="BD13" s="97"/>
      <c r="BE13" s="102"/>
      <c r="BG13" s="99"/>
      <c r="BH13" s="83"/>
      <c r="BI13" s="103"/>
      <c r="BK13" s="17"/>
      <c r="BL13" s="19"/>
      <c r="BM13" s="26" t="s">
        <v>86</v>
      </c>
      <c r="BN13" s="20"/>
      <c r="BO13" s="153" t="s">
        <v>131</v>
      </c>
      <c r="BP13" s="26"/>
      <c r="BQ13" s="236">
        <v>963</v>
      </c>
      <c r="BR13" s="236">
        <v>1605</v>
      </c>
      <c r="BS13" s="155" t="s">
        <v>126</v>
      </c>
      <c r="BT13" s="104"/>
      <c r="BU13" s="236">
        <v>30</v>
      </c>
      <c r="BV13" s="156">
        <v>45</v>
      </c>
      <c r="BW13" s="236">
        <v>50</v>
      </c>
      <c r="BX13" s="155" t="s">
        <v>128</v>
      </c>
      <c r="BY13" s="104"/>
      <c r="BZ13" s="237" t="s">
        <v>150</v>
      </c>
      <c r="CA13" s="157" t="s">
        <v>47</v>
      </c>
      <c r="CB13" s="155">
        <v>24</v>
      </c>
      <c r="CC13" s="136"/>
      <c r="CE13" s="24"/>
      <c r="CF13" s="20"/>
      <c r="CG13" s="105"/>
      <c r="CH13" s="105"/>
      <c r="CI13" s="105"/>
      <c r="CJ13" s="105"/>
      <c r="CK13" s="105"/>
      <c r="CL13" s="239"/>
      <c r="CM13" s="151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4">
        <v>2637106</v>
      </c>
      <c r="D14" s="137">
        <f t="shared" si="0"/>
        <v>3.189</v>
      </c>
      <c r="E14" s="139">
        <v>5.2</v>
      </c>
      <c r="F14" s="140">
        <v>1.2</v>
      </c>
      <c r="G14" s="81" t="str">
        <f t="shared" si="8"/>
        <v>0.00</v>
      </c>
      <c r="H14" s="84">
        <v>1000</v>
      </c>
      <c r="I14" s="85">
        <v>1000</v>
      </c>
      <c r="K14" s="86" t="s">
        <v>213</v>
      </c>
      <c r="L14" s="84">
        <v>40</v>
      </c>
      <c r="M14" s="87">
        <v>0.03</v>
      </c>
      <c r="O14" s="106"/>
      <c r="Q14" s="107" t="s">
        <v>10</v>
      </c>
      <c r="R14" s="152" t="s">
        <v>10</v>
      </c>
      <c r="S14" s="108" t="s">
        <v>10</v>
      </c>
      <c r="U14" s="92">
        <v>6.95</v>
      </c>
      <c r="V14" s="93">
        <v>6.98</v>
      </c>
      <c r="W14" s="94">
        <v>6.74</v>
      </c>
      <c r="Y14" s="89">
        <v>10.2</v>
      </c>
      <c r="Z14" s="95">
        <v>10.1</v>
      </c>
      <c r="AA14" s="91">
        <v>10.6</v>
      </c>
      <c r="AC14" s="92">
        <v>5</v>
      </c>
      <c r="AD14" s="90">
        <v>0.01</v>
      </c>
      <c r="AE14" s="96">
        <v>0</v>
      </c>
      <c r="AG14" s="45">
        <f t="shared" si="1"/>
        <v>3</v>
      </c>
      <c r="AH14" s="281"/>
      <c r="AI14" s="97"/>
      <c r="AJ14" s="55">
        <f t="shared" si="2"/>
      </c>
      <c r="AK14" s="97"/>
      <c r="AL14" s="55">
        <f t="shared" si="3"/>
      </c>
      <c r="AM14" s="97"/>
      <c r="AN14" s="55">
        <f t="shared" si="4"/>
      </c>
      <c r="AO14" s="109"/>
      <c r="AQ14" s="99"/>
      <c r="AR14" s="55">
        <f t="shared" si="5"/>
      </c>
      <c r="AS14" s="97"/>
      <c r="AT14" s="55">
        <f t="shared" si="6"/>
      </c>
      <c r="AU14" s="97"/>
      <c r="AV14" s="55">
        <f t="shared" si="7"/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(IF(((SUM(AM18:AM20))=0)," ",(AVERAGE(AM18:AM20))))</f>
        <v>19.333333333333332</v>
      </c>
      <c r="CH14" s="105">
        <f>(IF(((SUM(AN18:AN20))=0)," ",(AVERAGE(AN18:AN20))))</f>
        <v>496.61086</v>
      </c>
      <c r="CI14" s="105"/>
      <c r="CJ14" s="105">
        <f>(IF(((SUM(AU18:AU20))=0)," ",(AVERAGE(AU18:AU20))))</f>
        <v>28</v>
      </c>
      <c r="CK14" s="105">
        <f>(IF(((SUM(AV18:AV20))=0)," ",(AVERAGE(AV18:AV20))))</f>
        <v>714.9437200000001</v>
      </c>
      <c r="CL14" s="239"/>
      <c r="CM14" s="151">
        <f>(AVERAGE(AE15:AE21))</f>
        <v>0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4">
        <v>2639882</v>
      </c>
      <c r="D15" s="137">
        <f t="shared" si="0"/>
        <v>2.776</v>
      </c>
      <c r="E15" s="139">
        <v>4.1</v>
      </c>
      <c r="F15" s="140">
        <v>1.2</v>
      </c>
      <c r="G15" s="81" t="str">
        <f t="shared" si="8"/>
        <v>0.00</v>
      </c>
      <c r="H15" s="84">
        <v>0</v>
      </c>
      <c r="I15" s="85">
        <v>0</v>
      </c>
      <c r="K15" s="86" t="s">
        <v>208</v>
      </c>
      <c r="L15" s="84">
        <v>42</v>
      </c>
      <c r="M15" s="87">
        <v>0.13</v>
      </c>
      <c r="O15" s="106"/>
      <c r="Q15" s="107"/>
      <c r="R15" s="152"/>
      <c r="S15" s="108"/>
      <c r="U15" s="92">
        <v>6.89</v>
      </c>
      <c r="V15" s="93">
        <v>7.07</v>
      </c>
      <c r="W15" s="94">
        <v>6.73</v>
      </c>
      <c r="Y15" s="89">
        <v>9.8</v>
      </c>
      <c r="Z15" s="95">
        <v>10</v>
      </c>
      <c r="AA15" s="91">
        <v>10.6</v>
      </c>
      <c r="AC15" s="92">
        <v>1.5</v>
      </c>
      <c r="AD15" s="90">
        <v>0</v>
      </c>
      <c r="AE15" s="96">
        <v>0</v>
      </c>
      <c r="AG15" s="45">
        <f t="shared" si="1"/>
        <v>4</v>
      </c>
      <c r="AH15" s="281"/>
      <c r="AI15" s="97"/>
      <c r="AJ15" s="55">
        <f t="shared" si="2"/>
      </c>
      <c r="AK15" s="97"/>
      <c r="AL15" s="55">
        <f t="shared" si="3"/>
      </c>
      <c r="AM15" s="97"/>
      <c r="AN15" s="55">
        <f t="shared" si="4"/>
      </c>
      <c r="AO15" s="109"/>
      <c r="AQ15" s="99"/>
      <c r="AR15" s="55">
        <f t="shared" si="5"/>
      </c>
      <c r="AS15" s="97"/>
      <c r="AT15" s="55">
        <f t="shared" si="6"/>
      </c>
      <c r="AU15" s="97"/>
      <c r="AV15" s="55">
        <f t="shared" si="7"/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105"/>
      <c r="CH15" s="105"/>
      <c r="CI15" s="105"/>
      <c r="CJ15" s="105"/>
      <c r="CK15" s="105"/>
      <c r="CL15" s="239"/>
      <c r="CM15" s="151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2">
        <v>2642792</v>
      </c>
      <c r="D16" s="138">
        <f t="shared" si="0"/>
        <v>2.91</v>
      </c>
      <c r="E16" s="141">
        <v>4.8</v>
      </c>
      <c r="F16" s="142">
        <v>1.2</v>
      </c>
      <c r="G16" s="183" t="str">
        <f t="shared" si="8"/>
        <v>0.00</v>
      </c>
      <c r="H16" s="112">
        <v>8000</v>
      </c>
      <c r="I16" s="113">
        <v>4500</v>
      </c>
      <c r="K16" s="114" t="s">
        <v>214</v>
      </c>
      <c r="L16" s="112">
        <v>32</v>
      </c>
      <c r="M16" s="115">
        <v>0.18</v>
      </c>
      <c r="O16" s="116"/>
      <c r="Q16" s="107" t="s">
        <v>4</v>
      </c>
      <c r="R16" s="152" t="s">
        <v>4</v>
      </c>
      <c r="S16" s="108" t="s">
        <v>4</v>
      </c>
      <c r="U16" s="117">
        <v>7.05</v>
      </c>
      <c r="V16" s="118">
        <v>6.99</v>
      </c>
      <c r="W16" s="119">
        <v>6.73</v>
      </c>
      <c r="Y16" s="120">
        <v>10.5</v>
      </c>
      <c r="Z16" s="121">
        <v>9.5</v>
      </c>
      <c r="AA16" s="122">
        <v>9.9</v>
      </c>
      <c r="AC16" s="117">
        <v>4.5</v>
      </c>
      <c r="AD16" s="123">
        <v>0.01</v>
      </c>
      <c r="AE16" s="124">
        <v>0</v>
      </c>
      <c r="AG16" s="45">
        <f t="shared" si="1"/>
        <v>5</v>
      </c>
      <c r="AH16" s="281"/>
      <c r="AI16" s="125"/>
      <c r="AJ16" s="65">
        <f t="shared" si="2"/>
      </c>
      <c r="AK16" s="125"/>
      <c r="AL16" s="65">
        <f t="shared" si="3"/>
      </c>
      <c r="AM16" s="125"/>
      <c r="AN16" s="65">
        <f t="shared" si="4"/>
      </c>
      <c r="AO16" s="126"/>
      <c r="AQ16" s="127"/>
      <c r="AR16" s="65">
        <f t="shared" si="5"/>
      </c>
      <c r="AS16" s="125"/>
      <c r="AT16" s="65">
        <f t="shared" si="6"/>
      </c>
      <c r="AU16" s="125"/>
      <c r="AV16" s="65">
        <f t="shared" si="7"/>
      </c>
      <c r="AX16" s="127">
        <v>61025</v>
      </c>
      <c r="AY16" s="128">
        <v>3</v>
      </c>
      <c r="AZ16" s="129">
        <v>4.25</v>
      </c>
      <c r="BA16" s="125">
        <v>43.4</v>
      </c>
      <c r="BB16" s="129">
        <v>30</v>
      </c>
      <c r="BC16" s="125">
        <v>24</v>
      </c>
      <c r="BD16" s="125"/>
      <c r="BE16" s="130"/>
      <c r="BG16" s="127">
        <v>24</v>
      </c>
      <c r="BH16" s="110" t="s">
        <v>210</v>
      </c>
      <c r="BI16" s="131" t="s">
        <v>211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(IF(((SUM(AM25:AM27))=0)," ",(AVERAGE(AM25:AM27))))</f>
        <v>21.333333333333332</v>
      </c>
      <c r="CH16" s="105">
        <f>(IF(((SUM(AN25:AN27))=0)," ",(AVERAGE(AN25:AN27))))</f>
        <v>630.8070199999999</v>
      </c>
      <c r="CI16" s="105"/>
      <c r="CJ16" s="105">
        <f>(IF(((SUM(AU25:AU27))=0)," ",(AVERAGE(AU25:AU27))))</f>
        <v>29.666666666666668</v>
      </c>
      <c r="CK16" s="105">
        <f>(IF(((SUM(AV25:AV27))=0)," ",(AVERAGE(AV25:AV27))))</f>
        <v>877.3263000000001</v>
      </c>
      <c r="CL16" s="239"/>
      <c r="CM16" s="151">
        <f>(AVERAGE(AE22:AE28))</f>
        <v>0.0014285714285714286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4">
        <v>2645760</v>
      </c>
      <c r="D17" s="137">
        <f t="shared" si="0"/>
        <v>2.968</v>
      </c>
      <c r="E17" s="139">
        <v>4.8</v>
      </c>
      <c r="F17" s="140">
        <v>1.2</v>
      </c>
      <c r="G17" s="81" t="str">
        <f t="shared" si="8"/>
        <v>0.00</v>
      </c>
      <c r="H17" s="84">
        <v>0</v>
      </c>
      <c r="I17" s="85">
        <v>3000</v>
      </c>
      <c r="K17" s="86" t="s">
        <v>209</v>
      </c>
      <c r="L17" s="84">
        <v>35</v>
      </c>
      <c r="M17" s="87">
        <v>0</v>
      </c>
      <c r="O17" s="106"/>
      <c r="Q17" s="107"/>
      <c r="R17" s="152"/>
      <c r="S17" s="108"/>
      <c r="U17" s="92">
        <v>7.11</v>
      </c>
      <c r="V17" s="93">
        <v>7.08</v>
      </c>
      <c r="W17" s="94">
        <v>7.4</v>
      </c>
      <c r="Y17" s="89">
        <v>10.9</v>
      </c>
      <c r="Z17" s="95">
        <v>10</v>
      </c>
      <c r="AA17" s="91">
        <v>10.3</v>
      </c>
      <c r="AC17" s="92">
        <v>6.5</v>
      </c>
      <c r="AD17" s="90">
        <v>0.01</v>
      </c>
      <c r="AE17" s="96">
        <v>0</v>
      </c>
      <c r="AG17" s="45">
        <f t="shared" si="1"/>
        <v>6</v>
      </c>
      <c r="AH17" s="281"/>
      <c r="AI17" s="97"/>
      <c r="AJ17" s="55">
        <f t="shared" si="2"/>
      </c>
      <c r="AK17" s="97"/>
      <c r="AL17" s="55">
        <f t="shared" si="3"/>
      </c>
      <c r="AM17" s="97"/>
      <c r="AN17" s="55">
        <f t="shared" si="4"/>
      </c>
      <c r="AO17" s="109"/>
      <c r="AQ17" s="99"/>
      <c r="AR17" s="55">
        <f t="shared" si="5"/>
      </c>
      <c r="AS17" s="97"/>
      <c r="AT17" s="55">
        <f t="shared" si="6"/>
      </c>
      <c r="AU17" s="97"/>
      <c r="AV17" s="55">
        <f t="shared" si="7"/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38" t="s">
        <v>150</v>
      </c>
      <c r="BR17" s="238" t="s">
        <v>150</v>
      </c>
      <c r="BS17" s="238" t="s">
        <v>150</v>
      </c>
      <c r="BT17" s="104"/>
      <c r="BU17" s="145">
        <f>MIN(W12:W42)</f>
        <v>6.06</v>
      </c>
      <c r="BV17" s="238" t="s">
        <v>150</v>
      </c>
      <c r="BW17" s="145">
        <f>MAX(W12:W42)</f>
        <v>7.4</v>
      </c>
      <c r="BX17" s="104" t="s">
        <v>43</v>
      </c>
      <c r="BY17" s="104"/>
      <c r="BZ17" s="104">
        <v>0</v>
      </c>
      <c r="CA17" s="144" t="s">
        <v>48</v>
      </c>
      <c r="CB17" s="104" t="s">
        <v>23</v>
      </c>
      <c r="CC17" s="136"/>
      <c r="CE17" s="69"/>
      <c r="CF17" s="20"/>
      <c r="CG17" s="105"/>
      <c r="CH17" s="105"/>
      <c r="CI17" s="105"/>
      <c r="CJ17" s="105"/>
      <c r="CK17" s="105"/>
      <c r="CL17" s="240"/>
      <c r="CM17" s="151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4">
        <v>2648640</v>
      </c>
      <c r="D18" s="137">
        <f t="shared" si="0"/>
        <v>2.88</v>
      </c>
      <c r="E18" s="139">
        <v>5.2</v>
      </c>
      <c r="F18" s="140">
        <v>1.2</v>
      </c>
      <c r="G18" s="81" t="str">
        <f t="shared" si="8"/>
        <v>0.00</v>
      </c>
      <c r="H18" s="84">
        <v>5700</v>
      </c>
      <c r="I18" s="85">
        <v>4000</v>
      </c>
      <c r="K18" s="86" t="s">
        <v>209</v>
      </c>
      <c r="L18" s="84">
        <v>41</v>
      </c>
      <c r="M18" s="87">
        <v>0</v>
      </c>
      <c r="O18" s="106"/>
      <c r="Q18" s="107" t="s">
        <v>4</v>
      </c>
      <c r="R18" s="152" t="s">
        <v>4</v>
      </c>
      <c r="S18" s="108" t="s">
        <v>4</v>
      </c>
      <c r="U18" s="92">
        <v>7.07</v>
      </c>
      <c r="V18" s="93">
        <v>7.02</v>
      </c>
      <c r="W18" s="94">
        <v>7.24</v>
      </c>
      <c r="Y18" s="89">
        <v>11</v>
      </c>
      <c r="Z18" s="95">
        <v>9.7</v>
      </c>
      <c r="AA18" s="91">
        <v>10.2</v>
      </c>
      <c r="AC18" s="92">
        <v>5</v>
      </c>
      <c r="AD18" s="90">
        <v>0</v>
      </c>
      <c r="AE18" s="96">
        <v>0</v>
      </c>
      <c r="AG18" s="45">
        <f t="shared" si="1"/>
        <v>7</v>
      </c>
      <c r="AH18" s="281"/>
      <c r="AI18" s="97">
        <v>225</v>
      </c>
      <c r="AJ18" s="55">
        <f t="shared" si="2"/>
        <v>5404.32</v>
      </c>
      <c r="AK18" s="97"/>
      <c r="AL18" s="55">
        <f t="shared" si="3"/>
      </c>
      <c r="AM18" s="97">
        <v>15</v>
      </c>
      <c r="AN18" s="55">
        <f t="shared" si="4"/>
        <v>360.28799999999995</v>
      </c>
      <c r="AO18" s="109">
        <v>11</v>
      </c>
      <c r="AQ18" s="99">
        <v>190</v>
      </c>
      <c r="AR18" s="55">
        <f t="shared" si="5"/>
        <v>4563.647999999999</v>
      </c>
      <c r="AS18" s="97"/>
      <c r="AT18" s="55">
        <f t="shared" si="6"/>
      </c>
      <c r="AU18" s="97">
        <v>18</v>
      </c>
      <c r="AV18" s="55">
        <f t="shared" si="7"/>
        <v>432.34559999999993</v>
      </c>
      <c r="AX18" s="99"/>
      <c r="AY18" s="100"/>
      <c r="AZ18" s="101"/>
      <c r="BA18" s="97"/>
      <c r="BB18" s="101"/>
      <c r="BC18" s="97"/>
      <c r="BD18" s="97"/>
      <c r="BE18" s="102"/>
      <c r="BG18" s="99"/>
      <c r="BH18" s="83"/>
      <c r="BI18" s="103"/>
      <c r="BK18" s="17"/>
      <c r="BL18" s="19"/>
      <c r="BM18" s="26" t="s">
        <v>86</v>
      </c>
      <c r="BN18" s="20"/>
      <c r="BO18" s="153" t="s">
        <v>131</v>
      </c>
      <c r="BP18" s="26"/>
      <c r="BQ18" s="237" t="s">
        <v>150</v>
      </c>
      <c r="BR18" s="237" t="s">
        <v>150</v>
      </c>
      <c r="BS18" s="237" t="s">
        <v>150</v>
      </c>
      <c r="BT18" s="104"/>
      <c r="BU18" s="158">
        <v>6</v>
      </c>
      <c r="BV18" s="237" t="s">
        <v>150</v>
      </c>
      <c r="BW18" s="155">
        <v>8.5</v>
      </c>
      <c r="BX18" s="155" t="s">
        <v>43</v>
      </c>
      <c r="BY18" s="104"/>
      <c r="BZ18" s="237" t="s">
        <v>150</v>
      </c>
      <c r="CA18" s="157" t="s">
        <v>48</v>
      </c>
      <c r="CB18" s="155" t="s">
        <v>23</v>
      </c>
      <c r="CC18" s="136"/>
      <c r="CE18" s="69"/>
      <c r="CF18" s="20" t="s">
        <v>141</v>
      </c>
      <c r="CG18" s="105">
        <f>(IF(((SUM(AM32:AM34))=0)," ",(AVERAGE(AM32:AM34))))</f>
        <v>18.333333333333332</v>
      </c>
      <c r="CH18" s="105">
        <f>(IF(((SUM(AN32:AN34))=0)," ",(AVERAGE(AN32:AN34))))</f>
        <v>456.79848</v>
      </c>
      <c r="CI18" s="105"/>
      <c r="CJ18" s="105">
        <f>(IF(((SUM(AU32:AU34))=0)," ",(AVERAGE(AU32:AU34))))</f>
        <v>24</v>
      </c>
      <c r="CK18" s="105">
        <f>(IF(((SUM(AV32:AV34))=0)," ",(AVERAGE(AV32:AV34))))</f>
        <v>597.5332</v>
      </c>
      <c r="CL18" s="240"/>
      <c r="CM18" s="151">
        <f>(AVERAGE(AE29:AE35))</f>
        <v>0.0014285714285714286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4">
        <v>2652239</v>
      </c>
      <c r="D19" s="137">
        <f t="shared" si="0"/>
        <v>3.599</v>
      </c>
      <c r="E19" s="139">
        <v>5.2</v>
      </c>
      <c r="F19" s="140">
        <v>1</v>
      </c>
      <c r="G19" s="81" t="str">
        <f t="shared" si="8"/>
        <v>0.00</v>
      </c>
      <c r="H19" s="84">
        <v>3500</v>
      </c>
      <c r="I19" s="85">
        <v>6000</v>
      </c>
      <c r="K19" s="86" t="s">
        <v>209</v>
      </c>
      <c r="L19" s="84">
        <v>41</v>
      </c>
      <c r="M19" s="87">
        <v>0</v>
      </c>
      <c r="O19" s="106"/>
      <c r="Q19" s="107"/>
      <c r="R19" s="152"/>
      <c r="S19" s="108"/>
      <c r="U19" s="92">
        <v>7.09</v>
      </c>
      <c r="V19" s="93">
        <v>6.99</v>
      </c>
      <c r="W19" s="94">
        <v>6.48</v>
      </c>
      <c r="Y19" s="89">
        <v>10.7</v>
      </c>
      <c r="Z19" s="95">
        <v>10.3</v>
      </c>
      <c r="AA19" s="91">
        <v>10.9</v>
      </c>
      <c r="AC19" s="92">
        <v>5</v>
      </c>
      <c r="AD19" s="90">
        <v>0.1</v>
      </c>
      <c r="AE19" s="96">
        <v>0</v>
      </c>
      <c r="AG19" s="45">
        <f t="shared" si="1"/>
        <v>8</v>
      </c>
      <c r="AH19" s="281"/>
      <c r="AI19" s="97">
        <v>166</v>
      </c>
      <c r="AJ19" s="55">
        <f t="shared" si="2"/>
        <v>4982.599560000001</v>
      </c>
      <c r="AK19" s="97"/>
      <c r="AL19" s="55">
        <f t="shared" si="3"/>
      </c>
      <c r="AM19" s="97">
        <v>19</v>
      </c>
      <c r="AN19" s="55">
        <f t="shared" si="4"/>
        <v>570.29754</v>
      </c>
      <c r="AO19" s="109">
        <v>14</v>
      </c>
      <c r="AQ19" s="99">
        <v>180</v>
      </c>
      <c r="AR19" s="55">
        <f t="shared" si="5"/>
        <v>5402.8188</v>
      </c>
      <c r="AS19" s="97"/>
      <c r="AT19" s="55">
        <f t="shared" si="6"/>
      </c>
      <c r="AU19" s="97">
        <v>26</v>
      </c>
      <c r="AV19" s="55">
        <f t="shared" si="7"/>
        <v>780.4071600000001</v>
      </c>
      <c r="AX19" s="99">
        <v>54924</v>
      </c>
      <c r="AY19" s="100">
        <v>2</v>
      </c>
      <c r="AZ19" s="101">
        <v>3.75</v>
      </c>
      <c r="BA19" s="97">
        <v>37.2</v>
      </c>
      <c r="BB19" s="101">
        <v>26</v>
      </c>
      <c r="BC19" s="97">
        <v>24</v>
      </c>
      <c r="BD19" s="97"/>
      <c r="BE19" s="102"/>
      <c r="BG19" s="99">
        <v>24</v>
      </c>
      <c r="BH19" s="83" t="s">
        <v>210</v>
      </c>
      <c r="BI19" s="103" t="s">
        <v>211</v>
      </c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5"/>
      <c r="CH19" s="105"/>
      <c r="CI19" s="105"/>
      <c r="CJ19" s="105"/>
      <c r="CK19" s="105"/>
      <c r="CL19" s="240"/>
      <c r="CM19" s="151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4">
        <v>2655033</v>
      </c>
      <c r="D20" s="137">
        <f t="shared" si="0"/>
        <v>2.794</v>
      </c>
      <c r="E20" s="139">
        <v>4.8</v>
      </c>
      <c r="F20" s="140">
        <v>1.2</v>
      </c>
      <c r="G20" s="81" t="str">
        <f t="shared" si="8"/>
        <v>0.00</v>
      </c>
      <c r="H20" s="84">
        <v>0</v>
      </c>
      <c r="I20" s="85">
        <v>2300</v>
      </c>
      <c r="K20" s="86" t="s">
        <v>209</v>
      </c>
      <c r="L20" s="84">
        <v>43</v>
      </c>
      <c r="M20" s="87">
        <v>0</v>
      </c>
      <c r="O20" s="106"/>
      <c r="Q20" s="107"/>
      <c r="R20" s="152"/>
      <c r="S20" s="108"/>
      <c r="U20" s="92">
        <v>7.1</v>
      </c>
      <c r="V20" s="93">
        <v>7.02</v>
      </c>
      <c r="W20" s="94">
        <v>6.06</v>
      </c>
      <c r="Y20" s="89">
        <v>11.6</v>
      </c>
      <c r="Z20" s="95">
        <v>10.6</v>
      </c>
      <c r="AA20" s="91">
        <v>11.3</v>
      </c>
      <c r="AC20" s="92">
        <v>15</v>
      </c>
      <c r="AD20" s="90">
        <v>0.01</v>
      </c>
      <c r="AE20" s="96">
        <v>0</v>
      </c>
      <c r="AG20" s="45">
        <f t="shared" si="1"/>
        <v>9</v>
      </c>
      <c r="AH20" s="281"/>
      <c r="AI20" s="97">
        <v>179</v>
      </c>
      <c r="AJ20" s="55">
        <f t="shared" si="2"/>
        <v>4171.05084</v>
      </c>
      <c r="AK20" s="97">
        <v>165</v>
      </c>
      <c r="AL20" s="55">
        <f t="shared" si="3"/>
        <v>3844.8233999999998</v>
      </c>
      <c r="AM20" s="97">
        <v>24</v>
      </c>
      <c r="AN20" s="55">
        <f t="shared" si="4"/>
        <v>559.24704</v>
      </c>
      <c r="AO20" s="109">
        <v>16</v>
      </c>
      <c r="AQ20" s="99">
        <v>186</v>
      </c>
      <c r="AR20" s="55">
        <f t="shared" si="5"/>
        <v>4334.164559999999</v>
      </c>
      <c r="AS20" s="97">
        <v>85</v>
      </c>
      <c r="AT20" s="55">
        <f t="shared" si="6"/>
        <v>1980.6666</v>
      </c>
      <c r="AU20" s="97">
        <v>40</v>
      </c>
      <c r="AV20" s="55">
        <f t="shared" si="7"/>
        <v>932.0784</v>
      </c>
      <c r="AX20" s="99"/>
      <c r="AY20" s="100"/>
      <c r="AZ20" s="101"/>
      <c r="BA20" s="97"/>
      <c r="BB20" s="101"/>
      <c r="BC20" s="97"/>
      <c r="BD20" s="97"/>
      <c r="BE20" s="102"/>
      <c r="BG20" s="99"/>
      <c r="BH20" s="83"/>
      <c r="BI20" s="103"/>
      <c r="CE20" s="69"/>
      <c r="CF20" s="20" t="s">
        <v>142</v>
      </c>
      <c r="CG20" s="105">
        <f>(IF(((SUM(AM39:AM41))=0)," ",(AVERAGE(AM39:AM41))))</f>
        <v>17.666666666666668</v>
      </c>
      <c r="CH20" s="105">
        <f>(IF(((SUM(AN39:AN41))=0)," ",(AVERAGE(AN39:AN41))))</f>
        <v>426.78003999999993</v>
      </c>
      <c r="CI20" s="105"/>
      <c r="CJ20" s="105">
        <f>(IF(((SUM(AU39:AU41))=0)," ",(AVERAGE(AU39:AU41))))</f>
        <v>23</v>
      </c>
      <c r="CK20" s="105">
        <f>(IF(((SUM(AV39:AV41))=0)," ",(AVERAGE(AV39:AV41))))</f>
        <v>555.51072</v>
      </c>
      <c r="CL20" s="240"/>
      <c r="CM20" s="151">
        <f>AVERAGE(AE36:AE41)</f>
        <v>0</v>
      </c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2">
        <v>2657710</v>
      </c>
      <c r="D21" s="138">
        <f t="shared" si="0"/>
        <v>2.677</v>
      </c>
      <c r="E21" s="141">
        <v>5</v>
      </c>
      <c r="F21" s="142">
        <v>1</v>
      </c>
      <c r="G21" s="183" t="str">
        <f t="shared" si="8"/>
        <v>0.00</v>
      </c>
      <c r="H21" s="112">
        <v>0</v>
      </c>
      <c r="I21" s="113">
        <v>3000</v>
      </c>
      <c r="K21" s="114" t="s">
        <v>209</v>
      </c>
      <c r="L21" s="112">
        <v>41</v>
      </c>
      <c r="M21" s="115">
        <v>0</v>
      </c>
      <c r="O21" s="116"/>
      <c r="Q21" s="107"/>
      <c r="R21" s="152"/>
      <c r="S21" s="108"/>
      <c r="U21" s="117">
        <v>6.93</v>
      </c>
      <c r="V21" s="118">
        <v>6.99</v>
      </c>
      <c r="W21" s="119">
        <v>6.39</v>
      </c>
      <c r="Y21" s="120">
        <v>10.1</v>
      </c>
      <c r="Z21" s="121">
        <v>9.7</v>
      </c>
      <c r="AA21" s="122">
        <v>10.7</v>
      </c>
      <c r="AC21" s="117">
        <v>3</v>
      </c>
      <c r="AD21" s="123">
        <v>0.01</v>
      </c>
      <c r="AE21" s="124">
        <v>0</v>
      </c>
      <c r="AG21" s="45">
        <f t="shared" si="1"/>
        <v>10</v>
      </c>
      <c r="AH21" s="281"/>
      <c r="AI21" s="125"/>
      <c r="AJ21" s="65">
        <f t="shared" si="2"/>
      </c>
      <c r="AK21" s="125"/>
      <c r="AL21" s="65">
        <f t="shared" si="3"/>
      </c>
      <c r="AM21" s="125"/>
      <c r="AN21" s="65">
        <f t="shared" si="4"/>
      </c>
      <c r="AO21" s="126"/>
      <c r="AQ21" s="127"/>
      <c r="AR21" s="65">
        <f t="shared" si="5"/>
      </c>
      <c r="AS21" s="125"/>
      <c r="AT21" s="65">
        <f t="shared" si="6"/>
      </c>
      <c r="AU21" s="125"/>
      <c r="AV21" s="65">
        <f t="shared" si="7"/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4">
        <v>2660301</v>
      </c>
      <c r="D22" s="137">
        <f t="shared" si="0"/>
        <v>2.591</v>
      </c>
      <c r="E22" s="139">
        <v>4.8</v>
      </c>
      <c r="F22" s="140">
        <v>0.9</v>
      </c>
      <c r="G22" s="81" t="str">
        <f t="shared" si="8"/>
        <v>0.00</v>
      </c>
      <c r="H22" s="84">
        <v>0</v>
      </c>
      <c r="I22" s="85">
        <v>0</v>
      </c>
      <c r="K22" s="86" t="s">
        <v>209</v>
      </c>
      <c r="L22" s="84">
        <v>37</v>
      </c>
      <c r="M22" s="87">
        <v>0</v>
      </c>
      <c r="O22" s="106"/>
      <c r="Q22" s="107" t="s">
        <v>4</v>
      </c>
      <c r="R22" s="152" t="s">
        <v>4</v>
      </c>
      <c r="S22" s="108" t="s">
        <v>4</v>
      </c>
      <c r="U22" s="92">
        <v>6.83</v>
      </c>
      <c r="V22" s="93">
        <v>6.99</v>
      </c>
      <c r="W22" s="94">
        <v>6.28</v>
      </c>
      <c r="Y22" s="89">
        <v>10.6</v>
      </c>
      <c r="Z22" s="95">
        <v>9.9</v>
      </c>
      <c r="AA22" s="91">
        <v>10.6</v>
      </c>
      <c r="AC22" s="92">
        <v>3</v>
      </c>
      <c r="AD22" s="90">
        <v>0.01</v>
      </c>
      <c r="AE22" s="96">
        <v>0</v>
      </c>
      <c r="AG22" s="45">
        <f t="shared" si="1"/>
        <v>11</v>
      </c>
      <c r="AH22" s="281"/>
      <c r="AI22" s="97"/>
      <c r="AJ22" s="55">
        <f t="shared" si="2"/>
      </c>
      <c r="AK22" s="97"/>
      <c r="AL22" s="55">
        <f t="shared" si="3"/>
      </c>
      <c r="AM22" s="97"/>
      <c r="AN22" s="55">
        <f t="shared" si="4"/>
      </c>
      <c r="AO22" s="109"/>
      <c r="AQ22" s="99"/>
      <c r="AR22" s="55">
        <f t="shared" si="5"/>
      </c>
      <c r="AS22" s="97"/>
      <c r="AT22" s="55">
        <f t="shared" si="6"/>
      </c>
      <c r="AU22" s="97"/>
      <c r="AV22" s="55">
        <f t="shared" si="7"/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49">
        <f>(IF(((SUM(AV12:AV42))=0)," ",(AVERAGE(AV12:AV42))))</f>
        <v>679.5056699999999</v>
      </c>
      <c r="BR22" s="149">
        <f>MAX(AV12:AV42)</f>
        <v>993.86112</v>
      </c>
      <c r="BS22" s="104" t="s">
        <v>126</v>
      </c>
      <c r="BT22" s="104"/>
      <c r="BU22" s="149">
        <f>(IF(((SUM(AU12:AU42))=0)," ",(AVERAGE(AU12:AU42))))</f>
        <v>26.428571428571427</v>
      </c>
      <c r="BV22" s="143">
        <f>(CJ23)</f>
        <v>29.666666666666668</v>
      </c>
      <c r="BW22" s="149">
        <f>MAX(AU12:AU42)</f>
        <v>40</v>
      </c>
      <c r="BX22" s="104" t="s">
        <v>128</v>
      </c>
      <c r="BY22" s="104"/>
      <c r="BZ22" s="104">
        <v>0</v>
      </c>
      <c r="CA22" s="144" t="s">
        <v>47</v>
      </c>
      <c r="CB22" s="104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4">
        <v>2662774</v>
      </c>
      <c r="D23" s="137">
        <f t="shared" si="0"/>
        <v>2.473</v>
      </c>
      <c r="E23" s="139">
        <v>5</v>
      </c>
      <c r="F23" s="140">
        <v>0.8</v>
      </c>
      <c r="G23" s="81" t="str">
        <f t="shared" si="8"/>
        <v>0.00</v>
      </c>
      <c r="H23" s="84">
        <v>4000</v>
      </c>
      <c r="I23" s="85">
        <v>7500</v>
      </c>
      <c r="K23" s="86" t="s">
        <v>209</v>
      </c>
      <c r="L23" s="84">
        <v>41</v>
      </c>
      <c r="M23" s="87">
        <v>0</v>
      </c>
      <c r="O23" s="106"/>
      <c r="Q23" s="107"/>
      <c r="R23" s="152"/>
      <c r="S23" s="108"/>
      <c r="U23" s="92">
        <v>7.04</v>
      </c>
      <c r="V23" s="93">
        <v>6.98</v>
      </c>
      <c r="W23" s="94">
        <v>6.63</v>
      </c>
      <c r="Y23" s="89">
        <v>10.7</v>
      </c>
      <c r="Z23" s="95">
        <v>10.8</v>
      </c>
      <c r="AA23" s="91">
        <v>11.4</v>
      </c>
      <c r="AC23" s="92">
        <v>4.5</v>
      </c>
      <c r="AD23" s="90">
        <v>0</v>
      </c>
      <c r="AE23" s="96">
        <v>0</v>
      </c>
      <c r="AG23" s="45">
        <f t="shared" si="1"/>
        <v>12</v>
      </c>
      <c r="AH23" s="281"/>
      <c r="AI23" s="97"/>
      <c r="AJ23" s="55">
        <f t="shared" si="2"/>
      </c>
      <c r="AK23" s="97"/>
      <c r="AL23" s="55">
        <f t="shared" si="3"/>
      </c>
      <c r="AM23" s="97"/>
      <c r="AN23" s="55">
        <f t="shared" si="4"/>
      </c>
      <c r="AO23" s="109"/>
      <c r="AQ23" s="99"/>
      <c r="AR23" s="55">
        <f t="shared" si="5"/>
      </c>
      <c r="AS23" s="97"/>
      <c r="AT23" s="55">
        <f t="shared" si="6"/>
      </c>
      <c r="AU23" s="97"/>
      <c r="AV23" s="55">
        <f t="shared" si="7"/>
      </c>
      <c r="AX23" s="99">
        <v>63569</v>
      </c>
      <c r="AY23" s="100">
        <v>2</v>
      </c>
      <c r="AZ23" s="101">
        <v>4.75</v>
      </c>
      <c r="BA23" s="97">
        <v>43.4</v>
      </c>
      <c r="BB23" s="101">
        <v>29</v>
      </c>
      <c r="BC23" s="97">
        <v>24</v>
      </c>
      <c r="BD23" s="97"/>
      <c r="BE23" s="102"/>
      <c r="BG23" s="99">
        <v>24</v>
      </c>
      <c r="BH23" s="83" t="s">
        <v>210</v>
      </c>
      <c r="BI23" s="103" t="s">
        <v>211</v>
      </c>
      <c r="BK23" s="17"/>
      <c r="BL23" s="19"/>
      <c r="BM23" s="26" t="s">
        <v>86</v>
      </c>
      <c r="BN23" s="20"/>
      <c r="BO23" s="153" t="s">
        <v>131</v>
      </c>
      <c r="BP23" s="26"/>
      <c r="BQ23" s="236">
        <v>963</v>
      </c>
      <c r="BR23" s="236">
        <v>1605</v>
      </c>
      <c r="BS23" s="155" t="s">
        <v>126</v>
      </c>
      <c r="BT23" s="104"/>
      <c r="BU23" s="236">
        <v>30</v>
      </c>
      <c r="BV23" s="156">
        <v>45</v>
      </c>
      <c r="BW23" s="236">
        <v>50</v>
      </c>
      <c r="BX23" s="155" t="s">
        <v>128</v>
      </c>
      <c r="BY23" s="104"/>
      <c r="BZ23" s="237" t="s">
        <v>150</v>
      </c>
      <c r="CA23" s="157" t="s">
        <v>47</v>
      </c>
      <c r="CB23" s="155">
        <v>24</v>
      </c>
      <c r="CC23" s="136"/>
      <c r="CE23" s="69"/>
      <c r="CF23" s="72" t="s">
        <v>53</v>
      </c>
      <c r="CG23" s="149">
        <f>(IF(((SUM(CG12:CG20))=0)," ",(MAX(CG12:CG20))))</f>
        <v>21.333333333333332</v>
      </c>
      <c r="CH23" s="149">
        <f>(IF(((SUM(CH12:CH20))=0)," ",(MAX(CH12:CH20))))</f>
        <v>630.8070199999999</v>
      </c>
      <c r="CI23" s="185"/>
      <c r="CJ23" s="149">
        <f>(IF(((SUM(CJ12:CJ20))=0)," ",(MAX(CJ12:CJ20))))</f>
        <v>29.666666666666668</v>
      </c>
      <c r="CK23" s="149">
        <f>(IF(((SUM(CK12:CK20))=0)," ",(MAX(CK12:CK20))))</f>
        <v>877.3263000000001</v>
      </c>
      <c r="CL23" s="71"/>
      <c r="CM23" s="277">
        <f>(MAX(CM12:CM20))</f>
        <v>0.0014285714285714286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4">
        <v>2665659</v>
      </c>
      <c r="D24" s="137">
        <f t="shared" si="0"/>
        <v>2.885</v>
      </c>
      <c r="E24" s="139">
        <v>6</v>
      </c>
      <c r="F24" s="140">
        <v>1.3</v>
      </c>
      <c r="G24" s="81" t="str">
        <f t="shared" si="8"/>
        <v>0.00</v>
      </c>
      <c r="H24" s="84">
        <v>1000</v>
      </c>
      <c r="I24" s="85">
        <v>5000</v>
      </c>
      <c r="K24" s="86" t="s">
        <v>213</v>
      </c>
      <c r="L24" s="84">
        <v>40</v>
      </c>
      <c r="M24" s="87">
        <v>1.37</v>
      </c>
      <c r="O24" s="106"/>
      <c r="Q24" s="107" t="s">
        <v>10</v>
      </c>
      <c r="R24" s="152" t="s">
        <v>10</v>
      </c>
      <c r="S24" s="108" t="s">
        <v>10</v>
      </c>
      <c r="U24" s="92">
        <v>7.26</v>
      </c>
      <c r="V24" s="93">
        <v>7</v>
      </c>
      <c r="W24" s="94">
        <v>6.48</v>
      </c>
      <c r="Y24" s="89">
        <v>11.2</v>
      </c>
      <c r="Z24" s="95">
        <v>10.8</v>
      </c>
      <c r="AA24" s="91">
        <v>11.7</v>
      </c>
      <c r="AC24" s="92">
        <v>7</v>
      </c>
      <c r="AD24" s="90">
        <v>0.01</v>
      </c>
      <c r="AE24" s="96">
        <v>0</v>
      </c>
      <c r="AG24" s="45">
        <f t="shared" si="1"/>
        <v>13</v>
      </c>
      <c r="AH24" s="281"/>
      <c r="AI24" s="97"/>
      <c r="AJ24" s="55">
        <f t="shared" si="2"/>
      </c>
      <c r="AK24" s="97"/>
      <c r="AL24" s="55">
        <f t="shared" si="3"/>
      </c>
      <c r="AM24" s="97"/>
      <c r="AN24" s="55">
        <f t="shared" si="4"/>
      </c>
      <c r="AO24" s="109"/>
      <c r="AQ24" s="99"/>
      <c r="AR24" s="55">
        <f t="shared" si="5"/>
      </c>
      <c r="AS24" s="97"/>
      <c r="AT24" s="55">
        <f t="shared" si="6"/>
      </c>
      <c r="AU24" s="97"/>
      <c r="AV24" s="55">
        <f t="shared" si="7"/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4">
        <v>2669016</v>
      </c>
      <c r="D25" s="137">
        <f t="shared" si="0"/>
        <v>3.357</v>
      </c>
      <c r="E25" s="139">
        <v>5.2</v>
      </c>
      <c r="F25" s="140">
        <v>1.6</v>
      </c>
      <c r="G25" s="81" t="str">
        <f t="shared" si="8"/>
        <v>0.00</v>
      </c>
      <c r="H25" s="84">
        <v>6000</v>
      </c>
      <c r="I25" s="85">
        <v>7000</v>
      </c>
      <c r="K25" s="86" t="s">
        <v>208</v>
      </c>
      <c r="L25" s="84">
        <v>48</v>
      </c>
      <c r="M25" s="87">
        <v>0.39</v>
      </c>
      <c r="O25" s="106"/>
      <c r="Q25" s="107"/>
      <c r="R25" s="152"/>
      <c r="S25" s="108"/>
      <c r="U25" s="92">
        <v>7.06</v>
      </c>
      <c r="V25" s="93">
        <v>6.98</v>
      </c>
      <c r="W25" s="94">
        <v>6.32</v>
      </c>
      <c r="Y25" s="89">
        <v>10.5</v>
      </c>
      <c r="Z25" s="95">
        <v>10.3</v>
      </c>
      <c r="AA25" s="91">
        <v>11.6</v>
      </c>
      <c r="AC25" s="92">
        <v>5.5</v>
      </c>
      <c r="AD25" s="90">
        <v>0.3</v>
      </c>
      <c r="AE25" s="96">
        <v>0.01</v>
      </c>
      <c r="AG25" s="45">
        <f t="shared" si="1"/>
        <v>14</v>
      </c>
      <c r="AH25" s="281"/>
      <c r="AI25" s="97">
        <v>263</v>
      </c>
      <c r="AJ25" s="55">
        <f t="shared" si="2"/>
        <v>7363.31094</v>
      </c>
      <c r="AK25" s="97"/>
      <c r="AL25" s="55">
        <f t="shared" si="3"/>
      </c>
      <c r="AM25" s="97">
        <v>21</v>
      </c>
      <c r="AN25" s="55">
        <f t="shared" si="4"/>
        <v>587.94498</v>
      </c>
      <c r="AO25" s="109">
        <v>15</v>
      </c>
      <c r="AQ25" s="99">
        <v>298</v>
      </c>
      <c r="AR25" s="55">
        <f t="shared" si="5"/>
        <v>8343.21924</v>
      </c>
      <c r="AS25" s="97"/>
      <c r="AT25" s="55">
        <f t="shared" si="6"/>
      </c>
      <c r="AU25" s="97">
        <v>29</v>
      </c>
      <c r="AV25" s="55">
        <f t="shared" si="7"/>
        <v>811.92402</v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2">
        <v>2672740</v>
      </c>
      <c r="D26" s="138">
        <f t="shared" si="0"/>
        <v>3.724</v>
      </c>
      <c r="E26" s="141">
        <v>4.6</v>
      </c>
      <c r="F26" s="142">
        <v>1.6</v>
      </c>
      <c r="G26" s="183" t="str">
        <f t="shared" si="8"/>
        <v>0.00</v>
      </c>
      <c r="H26" s="112">
        <v>1800</v>
      </c>
      <c r="I26" s="113">
        <v>5000</v>
      </c>
      <c r="K26" s="114" t="s">
        <v>213</v>
      </c>
      <c r="L26" s="112">
        <v>45</v>
      </c>
      <c r="M26" s="115">
        <v>0.27</v>
      </c>
      <c r="O26" s="116"/>
      <c r="Q26" s="107" t="s">
        <v>11</v>
      </c>
      <c r="R26" s="152" t="s">
        <v>11</v>
      </c>
      <c r="S26" s="108" t="s">
        <v>11</v>
      </c>
      <c r="U26" s="117">
        <v>7.68</v>
      </c>
      <c r="V26" s="118">
        <v>7.07</v>
      </c>
      <c r="W26" s="119">
        <v>6.35</v>
      </c>
      <c r="Y26" s="120">
        <v>10.6</v>
      </c>
      <c r="Z26" s="121">
        <v>10.6</v>
      </c>
      <c r="AA26" s="122">
        <v>11.6</v>
      </c>
      <c r="AC26" s="117">
        <v>5</v>
      </c>
      <c r="AD26" s="123">
        <v>0.01</v>
      </c>
      <c r="AE26" s="124">
        <v>0</v>
      </c>
      <c r="AG26" s="45">
        <f t="shared" si="1"/>
        <v>15</v>
      </c>
      <c r="AH26" s="281"/>
      <c r="AI26" s="125">
        <v>174</v>
      </c>
      <c r="AJ26" s="65">
        <f t="shared" si="2"/>
        <v>5404.11984</v>
      </c>
      <c r="AK26" s="125"/>
      <c r="AL26" s="65">
        <f t="shared" si="3"/>
      </c>
      <c r="AM26" s="125">
        <v>23</v>
      </c>
      <c r="AN26" s="65">
        <f t="shared" si="4"/>
        <v>714.33768</v>
      </c>
      <c r="AO26" s="126"/>
      <c r="AQ26" s="127">
        <v>188</v>
      </c>
      <c r="AR26" s="65">
        <f t="shared" si="5"/>
        <v>5838.934080000001</v>
      </c>
      <c r="AS26" s="125"/>
      <c r="AT26" s="65">
        <f t="shared" si="6"/>
      </c>
      <c r="AU26" s="125">
        <v>32</v>
      </c>
      <c r="AV26" s="65">
        <f t="shared" si="7"/>
        <v>993.86112</v>
      </c>
      <c r="AX26" s="127">
        <v>33270</v>
      </c>
      <c r="AY26" s="128">
        <v>3</v>
      </c>
      <c r="AZ26" s="129">
        <v>2.75</v>
      </c>
      <c r="BA26" s="125">
        <v>21.7</v>
      </c>
      <c r="BB26" s="129">
        <v>27</v>
      </c>
      <c r="BC26" s="125">
        <v>12</v>
      </c>
      <c r="BD26" s="125"/>
      <c r="BE26" s="130"/>
      <c r="BG26" s="127">
        <v>12</v>
      </c>
      <c r="BH26" s="110" t="s">
        <v>210</v>
      </c>
      <c r="BI26" s="131" t="s">
        <v>211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4">
        <v>2676278</v>
      </c>
      <c r="D27" s="137">
        <f t="shared" si="0"/>
        <v>3.538</v>
      </c>
      <c r="E27" s="139">
        <v>4.4</v>
      </c>
      <c r="F27" s="140">
        <v>1.4</v>
      </c>
      <c r="G27" s="81" t="str">
        <f t="shared" si="8"/>
        <v>0.00</v>
      </c>
      <c r="H27" s="84">
        <v>0</v>
      </c>
      <c r="I27" s="85">
        <v>8500</v>
      </c>
      <c r="K27" s="86" t="s">
        <v>209</v>
      </c>
      <c r="L27" s="84">
        <v>43</v>
      </c>
      <c r="M27" s="87">
        <v>0</v>
      </c>
      <c r="O27" s="106"/>
      <c r="Q27" s="107"/>
      <c r="R27" s="152"/>
      <c r="S27" s="108"/>
      <c r="U27" s="92">
        <v>6.94</v>
      </c>
      <c r="V27" s="93">
        <v>6.92</v>
      </c>
      <c r="W27" s="94">
        <v>6.46</v>
      </c>
      <c r="Y27" s="89">
        <v>10.5</v>
      </c>
      <c r="Z27" s="95">
        <v>10.2</v>
      </c>
      <c r="AA27" s="91">
        <v>10.9</v>
      </c>
      <c r="AC27" s="92">
        <v>4</v>
      </c>
      <c r="AD27" s="90">
        <v>0.1</v>
      </c>
      <c r="AE27" s="96">
        <v>0</v>
      </c>
      <c r="AG27" s="45">
        <f t="shared" si="1"/>
        <v>16</v>
      </c>
      <c r="AH27" s="281"/>
      <c r="AI27" s="97">
        <v>202</v>
      </c>
      <c r="AJ27" s="55">
        <f t="shared" si="2"/>
        <v>5960.39784</v>
      </c>
      <c r="AK27" s="97">
        <v>120</v>
      </c>
      <c r="AL27" s="55">
        <f t="shared" si="3"/>
        <v>3540.8304</v>
      </c>
      <c r="AM27" s="97">
        <v>20</v>
      </c>
      <c r="AN27" s="55">
        <f t="shared" si="4"/>
        <v>590.1383999999999</v>
      </c>
      <c r="AO27" s="109">
        <v>14</v>
      </c>
      <c r="AQ27" s="99">
        <v>136</v>
      </c>
      <c r="AR27" s="55">
        <f t="shared" si="5"/>
        <v>4012.9411199999995</v>
      </c>
      <c r="AS27" s="97">
        <v>79</v>
      </c>
      <c r="AT27" s="55">
        <f t="shared" si="6"/>
        <v>2331.04668</v>
      </c>
      <c r="AU27" s="97">
        <v>28</v>
      </c>
      <c r="AV27" s="55">
        <f t="shared" si="7"/>
        <v>826.1937599999999</v>
      </c>
      <c r="AX27" s="99"/>
      <c r="AY27" s="100"/>
      <c r="AZ27" s="101"/>
      <c r="BA27" s="97"/>
      <c r="BB27" s="101"/>
      <c r="BC27" s="97"/>
      <c r="BD27" s="97"/>
      <c r="BE27" s="102"/>
      <c r="BG27" s="99"/>
      <c r="BH27" s="83"/>
      <c r="BI27" s="103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4">
        <v>2679555</v>
      </c>
      <c r="D28" s="137">
        <f t="shared" si="0"/>
        <v>3.277</v>
      </c>
      <c r="E28" s="139">
        <v>4.6</v>
      </c>
      <c r="F28" s="140">
        <v>1.4</v>
      </c>
      <c r="G28" s="81" t="str">
        <f t="shared" si="8"/>
        <v>0.00</v>
      </c>
      <c r="H28" s="84">
        <v>0</v>
      </c>
      <c r="I28" s="85">
        <v>0</v>
      </c>
      <c r="K28" s="86" t="s">
        <v>209</v>
      </c>
      <c r="L28" s="84">
        <v>43</v>
      </c>
      <c r="M28" s="87">
        <v>0</v>
      </c>
      <c r="O28" s="106"/>
      <c r="Q28" s="107"/>
      <c r="R28" s="152"/>
      <c r="S28" s="108"/>
      <c r="U28" s="92">
        <v>6.91</v>
      </c>
      <c r="V28" s="93">
        <v>6.94</v>
      </c>
      <c r="W28" s="94">
        <v>6.18</v>
      </c>
      <c r="Y28" s="89">
        <v>10.6</v>
      </c>
      <c r="Z28" s="95">
        <v>10</v>
      </c>
      <c r="AA28" s="91">
        <v>10.6</v>
      </c>
      <c r="AC28" s="92">
        <v>1.5</v>
      </c>
      <c r="AD28" s="90">
        <v>0</v>
      </c>
      <c r="AE28" s="96">
        <v>0</v>
      </c>
      <c r="AG28" s="45">
        <f t="shared" si="1"/>
        <v>17</v>
      </c>
      <c r="AH28" s="281"/>
      <c r="AI28" s="97"/>
      <c r="AJ28" s="55">
        <f t="shared" si="2"/>
      </c>
      <c r="AK28" s="97"/>
      <c r="AL28" s="55">
        <f t="shared" si="3"/>
      </c>
      <c r="AM28" s="97"/>
      <c r="AN28" s="55">
        <f t="shared" si="4"/>
      </c>
      <c r="AO28" s="109"/>
      <c r="AQ28" s="99"/>
      <c r="AR28" s="55">
        <f t="shared" si="5"/>
      </c>
      <c r="AS28" s="97"/>
      <c r="AT28" s="55">
        <f t="shared" si="6"/>
      </c>
      <c r="AU28" s="97"/>
      <c r="AV28" s="55">
        <f t="shared" si="7"/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38" t="s">
        <v>150</v>
      </c>
      <c r="BR28" s="238" t="s">
        <v>150</v>
      </c>
      <c r="BS28" s="238" t="s">
        <v>150</v>
      </c>
      <c r="BT28" s="238"/>
      <c r="BU28" s="238" t="s">
        <v>150</v>
      </c>
      <c r="BV28" s="146">
        <f>(CM23)</f>
        <v>0.0014285714285714286</v>
      </c>
      <c r="BW28" s="146">
        <f>MAX(AE12:AE42)</f>
        <v>0.01</v>
      </c>
      <c r="BX28" s="104" t="s">
        <v>128</v>
      </c>
      <c r="BY28" s="104"/>
      <c r="BZ28" s="104">
        <v>0</v>
      </c>
      <c r="CA28" s="144" t="s">
        <v>48</v>
      </c>
      <c r="CB28" s="104" t="s">
        <v>23</v>
      </c>
      <c r="CC28" s="136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4">
        <v>2682663</v>
      </c>
      <c r="D29" s="137">
        <f t="shared" si="0"/>
        <v>3.108</v>
      </c>
      <c r="E29" s="139">
        <v>4.2</v>
      </c>
      <c r="F29" s="140">
        <v>1.4</v>
      </c>
      <c r="G29" s="81" t="str">
        <f t="shared" si="8"/>
        <v>0.00</v>
      </c>
      <c r="H29" s="84">
        <v>0</v>
      </c>
      <c r="I29" s="85">
        <v>0</v>
      </c>
      <c r="K29" s="86" t="s">
        <v>209</v>
      </c>
      <c r="L29" s="84">
        <v>52</v>
      </c>
      <c r="M29" s="87">
        <v>0</v>
      </c>
      <c r="O29" s="106"/>
      <c r="Q29" s="107"/>
      <c r="R29" s="152"/>
      <c r="S29" s="108"/>
      <c r="U29" s="92">
        <v>6.83</v>
      </c>
      <c r="V29" s="93">
        <v>6.91</v>
      </c>
      <c r="W29" s="94">
        <v>6.42</v>
      </c>
      <c r="Y29" s="89">
        <v>9.9</v>
      </c>
      <c r="Z29" s="95">
        <v>9.9</v>
      </c>
      <c r="AA29" s="91">
        <v>11.2</v>
      </c>
      <c r="AC29" s="92">
        <v>2</v>
      </c>
      <c r="AD29" s="90">
        <v>0.01</v>
      </c>
      <c r="AE29" s="96">
        <v>0</v>
      </c>
      <c r="AG29" s="45">
        <f t="shared" si="1"/>
        <v>18</v>
      </c>
      <c r="AH29" s="281"/>
      <c r="AI29" s="97"/>
      <c r="AJ29" s="55">
        <f t="shared" si="2"/>
      </c>
      <c r="AK29" s="97"/>
      <c r="AL29" s="55">
        <f t="shared" si="3"/>
      </c>
      <c r="AM29" s="97"/>
      <c r="AN29" s="55">
        <f t="shared" si="4"/>
      </c>
      <c r="AO29" s="109"/>
      <c r="AQ29" s="99"/>
      <c r="AR29" s="55">
        <f t="shared" si="5"/>
      </c>
      <c r="AS29" s="97"/>
      <c r="AT29" s="55">
        <f t="shared" si="6"/>
      </c>
      <c r="AU29" s="97"/>
      <c r="AV29" s="55">
        <f t="shared" si="7"/>
      </c>
      <c r="AX29" s="99"/>
      <c r="AY29" s="100"/>
      <c r="AZ29" s="101"/>
      <c r="BA29" s="97"/>
      <c r="BB29" s="101"/>
      <c r="BC29" s="97"/>
      <c r="BD29" s="97"/>
      <c r="BE29" s="102"/>
      <c r="BG29" s="99"/>
      <c r="BH29" s="83"/>
      <c r="BI29" s="103"/>
      <c r="BK29" s="17"/>
      <c r="BL29" s="19"/>
      <c r="BM29" s="26" t="s">
        <v>86</v>
      </c>
      <c r="BN29" s="20"/>
      <c r="BO29" s="153" t="s">
        <v>131</v>
      </c>
      <c r="BP29" s="26"/>
      <c r="BQ29" s="237" t="s">
        <v>150</v>
      </c>
      <c r="BR29" s="237" t="s">
        <v>150</v>
      </c>
      <c r="BS29" s="237" t="s">
        <v>150</v>
      </c>
      <c r="BT29" s="238"/>
      <c r="BU29" s="237" t="s">
        <v>150</v>
      </c>
      <c r="BV29" s="155" t="s">
        <v>146</v>
      </c>
      <c r="BW29" s="155">
        <v>0.3</v>
      </c>
      <c r="BX29" s="155" t="s">
        <v>128</v>
      </c>
      <c r="BY29" s="104"/>
      <c r="BZ29" s="237" t="s">
        <v>150</v>
      </c>
      <c r="CA29" s="157" t="s">
        <v>48</v>
      </c>
      <c r="CB29" s="155" t="s">
        <v>23</v>
      </c>
      <c r="CC29" s="136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4">
        <v>2685683</v>
      </c>
      <c r="D30" s="137">
        <f t="shared" si="0"/>
        <v>3.02</v>
      </c>
      <c r="E30" s="139">
        <v>5</v>
      </c>
      <c r="F30" s="140">
        <v>1.3</v>
      </c>
      <c r="G30" s="81" t="str">
        <f t="shared" si="8"/>
        <v>0.00</v>
      </c>
      <c r="H30" s="84">
        <v>1500</v>
      </c>
      <c r="I30" s="85">
        <v>4000</v>
      </c>
      <c r="K30" s="86" t="s">
        <v>209</v>
      </c>
      <c r="L30" s="84">
        <v>53</v>
      </c>
      <c r="M30" s="87">
        <v>0</v>
      </c>
      <c r="O30" s="106"/>
      <c r="Q30" s="107" t="s">
        <v>12</v>
      </c>
      <c r="R30" s="152" t="s">
        <v>12</v>
      </c>
      <c r="S30" s="108" t="s">
        <v>12</v>
      </c>
      <c r="U30" s="92">
        <v>6.82</v>
      </c>
      <c r="V30" s="93">
        <v>6.86</v>
      </c>
      <c r="W30" s="94">
        <v>6.41</v>
      </c>
      <c r="Y30" s="89">
        <v>10.4</v>
      </c>
      <c r="Z30" s="95">
        <v>10</v>
      </c>
      <c r="AA30" s="91">
        <v>11</v>
      </c>
      <c r="AC30" s="92">
        <v>11</v>
      </c>
      <c r="AD30" s="90">
        <v>0.1</v>
      </c>
      <c r="AE30" s="96">
        <v>0.01</v>
      </c>
      <c r="AG30" s="45">
        <f t="shared" si="1"/>
        <v>19</v>
      </c>
      <c r="AH30" s="281"/>
      <c r="AI30" s="97"/>
      <c r="AJ30" s="55">
        <f t="shared" si="2"/>
      </c>
      <c r="AK30" s="97"/>
      <c r="AL30" s="55">
        <f t="shared" si="3"/>
      </c>
      <c r="AM30" s="97"/>
      <c r="AN30" s="55">
        <f t="shared" si="4"/>
      </c>
      <c r="AO30" s="109"/>
      <c r="AQ30" s="99"/>
      <c r="AR30" s="55">
        <f t="shared" si="5"/>
      </c>
      <c r="AS30" s="97"/>
      <c r="AT30" s="55">
        <f t="shared" si="6"/>
      </c>
      <c r="AU30" s="97"/>
      <c r="AV30" s="55">
        <f t="shared" si="7"/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2">
        <v>2688757</v>
      </c>
      <c r="D31" s="138">
        <f t="shared" si="0"/>
        <v>3.074</v>
      </c>
      <c r="E31" s="141">
        <v>4.2</v>
      </c>
      <c r="F31" s="142">
        <v>1</v>
      </c>
      <c r="G31" s="183" t="str">
        <f t="shared" si="8"/>
        <v>0.00</v>
      </c>
      <c r="H31" s="112">
        <v>5700</v>
      </c>
      <c r="I31" s="113">
        <v>10000</v>
      </c>
      <c r="K31" s="114" t="s">
        <v>209</v>
      </c>
      <c r="L31" s="112">
        <v>54</v>
      </c>
      <c r="M31" s="115">
        <v>0</v>
      </c>
      <c r="O31" s="116"/>
      <c r="Q31" s="107"/>
      <c r="R31" s="152"/>
      <c r="S31" s="108"/>
      <c r="U31" s="117">
        <v>7.05</v>
      </c>
      <c r="V31" s="118">
        <v>6.96</v>
      </c>
      <c r="W31" s="119">
        <v>6.44</v>
      </c>
      <c r="Y31" s="120">
        <v>10.4</v>
      </c>
      <c r="Z31" s="121">
        <v>10.5</v>
      </c>
      <c r="AA31" s="122">
        <v>11.8</v>
      </c>
      <c r="AC31" s="117">
        <v>3</v>
      </c>
      <c r="AD31" s="123">
        <v>0</v>
      </c>
      <c r="AE31" s="124">
        <v>0</v>
      </c>
      <c r="AG31" s="45">
        <f t="shared" si="1"/>
        <v>20</v>
      </c>
      <c r="AH31" s="281"/>
      <c r="AI31" s="125"/>
      <c r="AJ31" s="65">
        <f t="shared" si="2"/>
      </c>
      <c r="AK31" s="125"/>
      <c r="AL31" s="65">
        <f t="shared" si="3"/>
      </c>
      <c r="AM31" s="125"/>
      <c r="AN31" s="65">
        <f t="shared" si="4"/>
      </c>
      <c r="AO31" s="126"/>
      <c r="AQ31" s="127"/>
      <c r="AR31" s="65">
        <f t="shared" si="5"/>
      </c>
      <c r="AS31" s="125"/>
      <c r="AT31" s="65">
        <f t="shared" si="6"/>
      </c>
      <c r="AU31" s="125"/>
      <c r="AV31" s="65">
        <f t="shared" si="7"/>
      </c>
      <c r="AX31" s="127">
        <v>61867</v>
      </c>
      <c r="AY31" s="128">
        <v>3</v>
      </c>
      <c r="AZ31" s="129">
        <v>4</v>
      </c>
      <c r="BA31" s="125">
        <v>40.3</v>
      </c>
      <c r="BB31" s="129">
        <v>28</v>
      </c>
      <c r="BC31" s="125">
        <v>24</v>
      </c>
      <c r="BD31" s="125"/>
      <c r="BE31" s="130"/>
      <c r="BG31" s="127">
        <v>24</v>
      </c>
      <c r="BH31" s="110" t="s">
        <v>210</v>
      </c>
      <c r="BI31" s="131" t="s">
        <v>211</v>
      </c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4">
        <v>2691731</v>
      </c>
      <c r="D32" s="137">
        <f t="shared" si="0"/>
        <v>2.974</v>
      </c>
      <c r="E32" s="139">
        <v>5.2</v>
      </c>
      <c r="F32" s="140">
        <v>0.8</v>
      </c>
      <c r="G32" s="81" t="str">
        <f t="shared" si="8"/>
        <v>0.00</v>
      </c>
      <c r="H32" s="84">
        <v>3000</v>
      </c>
      <c r="I32" s="85">
        <v>6500</v>
      </c>
      <c r="K32" s="86" t="s">
        <v>209</v>
      </c>
      <c r="L32" s="84">
        <v>43</v>
      </c>
      <c r="M32" s="87">
        <v>0</v>
      </c>
      <c r="O32" s="106"/>
      <c r="Q32" s="107" t="s">
        <v>13</v>
      </c>
      <c r="R32" s="152" t="s">
        <v>13</v>
      </c>
      <c r="S32" s="108" t="s">
        <v>13</v>
      </c>
      <c r="U32" s="92">
        <v>6.89</v>
      </c>
      <c r="V32" s="93">
        <v>6.87</v>
      </c>
      <c r="W32" s="94">
        <v>6.54</v>
      </c>
      <c r="Y32" s="89">
        <v>10.7</v>
      </c>
      <c r="Z32" s="95">
        <v>10.8</v>
      </c>
      <c r="AA32" s="91">
        <v>11.6</v>
      </c>
      <c r="AC32" s="92">
        <v>3</v>
      </c>
      <c r="AD32" s="90">
        <v>0.01</v>
      </c>
      <c r="AE32" s="96">
        <v>0</v>
      </c>
      <c r="AG32" s="45">
        <f t="shared" si="1"/>
        <v>21</v>
      </c>
      <c r="AH32" s="281"/>
      <c r="AI32" s="97">
        <v>231</v>
      </c>
      <c r="AJ32" s="55">
        <f t="shared" si="2"/>
        <v>5729.52996</v>
      </c>
      <c r="AK32" s="97"/>
      <c r="AL32" s="55">
        <f t="shared" si="3"/>
      </c>
      <c r="AM32" s="97">
        <v>20</v>
      </c>
      <c r="AN32" s="55">
        <f t="shared" si="4"/>
        <v>496.06320000000005</v>
      </c>
      <c r="AO32" s="109">
        <v>14</v>
      </c>
      <c r="AQ32" s="99">
        <v>236</v>
      </c>
      <c r="AR32" s="55">
        <f t="shared" si="5"/>
        <v>5853.54576</v>
      </c>
      <c r="AS32" s="97"/>
      <c r="AT32" s="55">
        <f t="shared" si="6"/>
      </c>
      <c r="AU32" s="97">
        <v>25</v>
      </c>
      <c r="AV32" s="55">
        <f t="shared" si="7"/>
        <v>620.0790000000001</v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4">
        <v>2694805</v>
      </c>
      <c r="D33" s="137">
        <f t="shared" si="0"/>
        <v>3.074</v>
      </c>
      <c r="E33" s="139">
        <v>5</v>
      </c>
      <c r="F33" s="140">
        <v>0.8</v>
      </c>
      <c r="G33" s="81" t="str">
        <f t="shared" si="8"/>
        <v>0.00</v>
      </c>
      <c r="H33" s="84">
        <v>0</v>
      </c>
      <c r="I33" s="85">
        <v>5000</v>
      </c>
      <c r="K33" s="86" t="s">
        <v>208</v>
      </c>
      <c r="L33" s="84">
        <v>53</v>
      </c>
      <c r="M33" s="87">
        <v>0</v>
      </c>
      <c r="O33" s="106"/>
      <c r="Q33" s="107"/>
      <c r="R33" s="152"/>
      <c r="S33" s="108"/>
      <c r="U33" s="92">
        <v>6.95</v>
      </c>
      <c r="V33" s="93">
        <v>6.98</v>
      </c>
      <c r="W33" s="94">
        <v>6.51</v>
      </c>
      <c r="Y33" s="89">
        <v>10.3</v>
      </c>
      <c r="Z33" s="95">
        <v>10.6</v>
      </c>
      <c r="AA33" s="91">
        <v>11.6</v>
      </c>
      <c r="AC33" s="92">
        <v>3.5</v>
      </c>
      <c r="AD33" s="90">
        <v>0.01</v>
      </c>
      <c r="AE33" s="96">
        <v>0</v>
      </c>
      <c r="AG33" s="45">
        <f t="shared" si="1"/>
        <v>22</v>
      </c>
      <c r="AH33" s="281"/>
      <c r="AI33" s="97">
        <v>202</v>
      </c>
      <c r="AJ33" s="55">
        <f t="shared" si="2"/>
        <v>5178.706319999999</v>
      </c>
      <c r="AK33" s="97"/>
      <c r="AL33" s="55">
        <f t="shared" si="3"/>
      </c>
      <c r="AM33" s="97">
        <v>18</v>
      </c>
      <c r="AN33" s="55">
        <f t="shared" si="4"/>
        <v>461.46887999999996</v>
      </c>
      <c r="AO33" s="109">
        <v>13</v>
      </c>
      <c r="AQ33" s="99">
        <v>210</v>
      </c>
      <c r="AR33" s="55">
        <f t="shared" si="5"/>
        <v>5383.803599999999</v>
      </c>
      <c r="AS33" s="97"/>
      <c r="AT33" s="55">
        <f t="shared" si="6"/>
      </c>
      <c r="AU33" s="97">
        <v>23</v>
      </c>
      <c r="AV33" s="55">
        <f t="shared" si="7"/>
        <v>589.65468</v>
      </c>
      <c r="AX33" s="99">
        <v>51158</v>
      </c>
      <c r="AY33" s="100">
        <v>3</v>
      </c>
      <c r="AZ33" s="101">
        <v>3.5</v>
      </c>
      <c r="BA33" s="97">
        <v>31</v>
      </c>
      <c r="BB33" s="101">
        <v>27</v>
      </c>
      <c r="BC33" s="97">
        <v>24</v>
      </c>
      <c r="BD33" s="97"/>
      <c r="BE33" s="102"/>
      <c r="BG33" s="99">
        <v>24</v>
      </c>
      <c r="BH33" s="83" t="s">
        <v>210</v>
      </c>
      <c r="BI33" s="103" t="s">
        <v>211</v>
      </c>
      <c r="BK33" s="17"/>
      <c r="BL33" s="19"/>
      <c r="BM33" s="56" t="s">
        <v>1</v>
      </c>
      <c r="BN33" s="20"/>
      <c r="BO33" s="57" t="s">
        <v>130</v>
      </c>
      <c r="BP33" s="26"/>
      <c r="BQ33" s="147">
        <f>(D47)</f>
        <v>2.9677666666666664</v>
      </c>
      <c r="BR33" s="147">
        <f>(D45)</f>
        <v>3.724</v>
      </c>
      <c r="BS33" s="104" t="s">
        <v>127</v>
      </c>
      <c r="BT33" s="104"/>
      <c r="BU33" s="238" t="s">
        <v>150</v>
      </c>
      <c r="BV33" s="238" t="s">
        <v>150</v>
      </c>
      <c r="BW33" s="238" t="s">
        <v>150</v>
      </c>
      <c r="BX33" s="238" t="s">
        <v>150</v>
      </c>
      <c r="BY33" s="104"/>
      <c r="BZ33" s="104">
        <v>0</v>
      </c>
      <c r="CA33" s="148" t="s">
        <v>24</v>
      </c>
      <c r="CB33" s="104" t="s">
        <v>25</v>
      </c>
      <c r="CC33" s="136"/>
      <c r="CJ33" s="338" t="s">
        <v>17</v>
      </c>
      <c r="CK33" s="340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4">
        <v>2697717</v>
      </c>
      <c r="D34" s="137">
        <f t="shared" si="0"/>
        <v>2.912</v>
      </c>
      <c r="E34" s="139">
        <v>4.6</v>
      </c>
      <c r="F34" s="140">
        <v>1.2</v>
      </c>
      <c r="G34" s="81" t="str">
        <f t="shared" si="8"/>
        <v>0.00</v>
      </c>
      <c r="H34" s="84">
        <v>1000</v>
      </c>
      <c r="I34" s="85">
        <v>5250</v>
      </c>
      <c r="K34" s="86" t="s">
        <v>208</v>
      </c>
      <c r="L34" s="84">
        <v>46</v>
      </c>
      <c r="M34" s="87">
        <v>0</v>
      </c>
      <c r="O34" s="106"/>
      <c r="Q34" s="107" t="s">
        <v>14</v>
      </c>
      <c r="R34" s="152" t="s">
        <v>14</v>
      </c>
      <c r="S34" s="108" t="s">
        <v>14</v>
      </c>
      <c r="U34" s="92">
        <v>6.91</v>
      </c>
      <c r="V34" s="93">
        <v>6.97</v>
      </c>
      <c r="W34" s="94">
        <v>6.5</v>
      </c>
      <c r="Y34" s="89">
        <v>11.2</v>
      </c>
      <c r="Z34" s="95">
        <v>12</v>
      </c>
      <c r="AA34" s="91">
        <v>12.9</v>
      </c>
      <c r="AC34" s="92">
        <v>3.5</v>
      </c>
      <c r="AD34" s="90">
        <v>0.01</v>
      </c>
      <c r="AE34" s="96">
        <v>0</v>
      </c>
      <c r="AG34" s="45">
        <f t="shared" si="1"/>
        <v>23</v>
      </c>
      <c r="AH34" s="281"/>
      <c r="AI34" s="97">
        <v>235</v>
      </c>
      <c r="AJ34" s="55">
        <f t="shared" si="2"/>
        <v>5707.228799999999</v>
      </c>
      <c r="AK34" s="97">
        <v>156</v>
      </c>
      <c r="AL34" s="55">
        <f t="shared" si="3"/>
        <v>3788.62848</v>
      </c>
      <c r="AM34" s="97">
        <v>17</v>
      </c>
      <c r="AN34" s="55">
        <f t="shared" si="4"/>
        <v>412.86336</v>
      </c>
      <c r="AO34" s="109">
        <v>11</v>
      </c>
      <c r="AQ34" s="99">
        <v>250</v>
      </c>
      <c r="AR34" s="55">
        <f t="shared" si="5"/>
        <v>6071.5199999999995</v>
      </c>
      <c r="AS34" s="97">
        <v>84</v>
      </c>
      <c r="AT34" s="55">
        <f t="shared" si="6"/>
        <v>2040.03072</v>
      </c>
      <c r="AU34" s="97">
        <v>24</v>
      </c>
      <c r="AV34" s="55">
        <f t="shared" si="7"/>
        <v>582.8659200000001</v>
      </c>
      <c r="AX34" s="99"/>
      <c r="AY34" s="100"/>
      <c r="AZ34" s="101"/>
      <c r="BA34" s="97"/>
      <c r="BB34" s="101"/>
      <c r="BC34" s="97"/>
      <c r="BD34" s="97"/>
      <c r="BE34" s="102"/>
      <c r="BG34" s="99"/>
      <c r="BH34" s="83"/>
      <c r="BI34" s="103"/>
      <c r="BK34" s="17"/>
      <c r="BL34" s="19"/>
      <c r="BM34" s="26" t="s">
        <v>86</v>
      </c>
      <c r="BN34" s="20"/>
      <c r="BO34" s="153" t="s">
        <v>131</v>
      </c>
      <c r="BP34" s="26"/>
      <c r="BQ34" s="159">
        <v>3.85</v>
      </c>
      <c r="BR34" s="155" t="s">
        <v>146</v>
      </c>
      <c r="BS34" s="155" t="s">
        <v>127</v>
      </c>
      <c r="BT34" s="104"/>
      <c r="BU34" s="237" t="s">
        <v>150</v>
      </c>
      <c r="BV34" s="237" t="s">
        <v>150</v>
      </c>
      <c r="BW34" s="237" t="s">
        <v>150</v>
      </c>
      <c r="BX34" s="237" t="s">
        <v>150</v>
      </c>
      <c r="BY34" s="104"/>
      <c r="BZ34" s="237" t="s">
        <v>150</v>
      </c>
      <c r="CA34" s="160" t="s">
        <v>24</v>
      </c>
      <c r="CB34" s="155" t="s">
        <v>25</v>
      </c>
      <c r="CC34" s="136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4">
        <v>2700553</v>
      </c>
      <c r="D35" s="137">
        <f t="shared" si="0"/>
        <v>2.836</v>
      </c>
      <c r="E35" s="139">
        <v>4</v>
      </c>
      <c r="F35" s="140">
        <v>1.2</v>
      </c>
      <c r="G35" s="81" t="str">
        <f t="shared" si="8"/>
        <v>0.00</v>
      </c>
      <c r="H35" s="84">
        <v>1000</v>
      </c>
      <c r="I35" s="85">
        <v>6000</v>
      </c>
      <c r="K35" s="86" t="s">
        <v>213</v>
      </c>
      <c r="L35" s="84">
        <v>45</v>
      </c>
      <c r="M35" s="87">
        <v>0.02</v>
      </c>
      <c r="O35" s="106"/>
      <c r="Q35" s="107"/>
      <c r="R35" s="152"/>
      <c r="S35" s="108"/>
      <c r="U35" s="92">
        <v>7.05</v>
      </c>
      <c r="V35" s="93">
        <v>7.07</v>
      </c>
      <c r="W35" s="94">
        <v>6.55</v>
      </c>
      <c r="Y35" s="89">
        <v>10.9</v>
      </c>
      <c r="Z35" s="95">
        <v>10.7</v>
      </c>
      <c r="AA35" s="91">
        <v>11.7</v>
      </c>
      <c r="AC35" s="92">
        <v>2.5</v>
      </c>
      <c r="AD35" s="90">
        <v>0.01</v>
      </c>
      <c r="AE35" s="96">
        <v>0</v>
      </c>
      <c r="AG35" s="45">
        <f t="shared" si="1"/>
        <v>24</v>
      </c>
      <c r="AH35" s="281"/>
      <c r="AI35" s="97"/>
      <c r="AJ35" s="55">
        <f t="shared" si="2"/>
      </c>
      <c r="AK35" s="97"/>
      <c r="AL35" s="55">
        <f t="shared" si="3"/>
      </c>
      <c r="AM35" s="97"/>
      <c r="AN35" s="55">
        <f t="shared" si="4"/>
      </c>
      <c r="AO35" s="109"/>
      <c r="AQ35" s="99"/>
      <c r="AR35" s="55">
        <f t="shared" si="5"/>
      </c>
      <c r="AS35" s="97"/>
      <c r="AT35" s="55">
        <f t="shared" si="6"/>
      </c>
      <c r="AU35" s="97"/>
      <c r="AV35" s="55">
        <f t="shared" si="7"/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2">
        <v>2703193</v>
      </c>
      <c r="D36" s="138">
        <f t="shared" si="0"/>
        <v>2.64</v>
      </c>
      <c r="E36" s="141">
        <v>4</v>
      </c>
      <c r="F36" s="142">
        <v>1.2</v>
      </c>
      <c r="G36" s="183" t="str">
        <f t="shared" si="8"/>
        <v>0.00</v>
      </c>
      <c r="H36" s="112">
        <v>0</v>
      </c>
      <c r="I36" s="113">
        <v>0</v>
      </c>
      <c r="K36" s="114" t="s">
        <v>209</v>
      </c>
      <c r="L36" s="112">
        <v>40</v>
      </c>
      <c r="M36" s="115">
        <v>0.09</v>
      </c>
      <c r="O36" s="116"/>
      <c r="Q36" s="107" t="s">
        <v>12</v>
      </c>
      <c r="R36" s="152" t="s">
        <v>12</v>
      </c>
      <c r="S36" s="108" t="s">
        <v>12</v>
      </c>
      <c r="U36" s="117">
        <v>7.04</v>
      </c>
      <c r="V36" s="118">
        <v>7.05</v>
      </c>
      <c r="W36" s="119">
        <v>6.66</v>
      </c>
      <c r="Y36" s="120">
        <v>10.6</v>
      </c>
      <c r="Z36" s="121">
        <v>10.5</v>
      </c>
      <c r="AA36" s="122">
        <v>10.6</v>
      </c>
      <c r="AC36" s="117">
        <v>3</v>
      </c>
      <c r="AD36" s="123">
        <v>0.01</v>
      </c>
      <c r="AE36" s="124">
        <v>0</v>
      </c>
      <c r="AG36" s="45">
        <f t="shared" si="1"/>
        <v>25</v>
      </c>
      <c r="AH36" s="281"/>
      <c r="AI36" s="125"/>
      <c r="AJ36" s="65">
        <f t="shared" si="2"/>
      </c>
      <c r="AK36" s="125"/>
      <c r="AL36" s="65">
        <f t="shared" si="3"/>
      </c>
      <c r="AM36" s="125"/>
      <c r="AN36" s="65">
        <f t="shared" si="4"/>
      </c>
      <c r="AO36" s="126"/>
      <c r="AQ36" s="127"/>
      <c r="AR36" s="65">
        <f t="shared" si="5"/>
      </c>
      <c r="AS36" s="125"/>
      <c r="AT36" s="65">
        <f t="shared" si="6"/>
      </c>
      <c r="AU36" s="125"/>
      <c r="AV36" s="65">
        <f t="shared" si="7"/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4">
        <v>2705882</v>
      </c>
      <c r="D37" s="137">
        <f t="shared" si="0"/>
        <v>2.689</v>
      </c>
      <c r="E37" s="139">
        <v>5</v>
      </c>
      <c r="F37" s="140">
        <v>1.2</v>
      </c>
      <c r="G37" s="81" t="str">
        <f t="shared" si="8"/>
        <v>0.00</v>
      </c>
      <c r="H37" s="84">
        <v>3300</v>
      </c>
      <c r="I37" s="85">
        <v>3500</v>
      </c>
      <c r="K37" s="86" t="s">
        <v>208</v>
      </c>
      <c r="L37" s="84">
        <v>41</v>
      </c>
      <c r="M37" s="87">
        <v>0.47</v>
      </c>
      <c r="O37" s="106"/>
      <c r="Q37" s="107"/>
      <c r="R37" s="152"/>
      <c r="S37" s="108"/>
      <c r="U37" s="92">
        <v>7.12</v>
      </c>
      <c r="V37" s="93">
        <v>7.06</v>
      </c>
      <c r="W37" s="94">
        <v>6.65</v>
      </c>
      <c r="Y37" s="89">
        <v>11.4</v>
      </c>
      <c r="Z37" s="95">
        <v>11.2</v>
      </c>
      <c r="AA37" s="91">
        <v>11.9</v>
      </c>
      <c r="AC37" s="92">
        <v>5.5</v>
      </c>
      <c r="AD37" s="90">
        <v>0.01</v>
      </c>
      <c r="AE37" s="96">
        <v>0</v>
      </c>
      <c r="AG37" s="45">
        <f t="shared" si="1"/>
        <v>26</v>
      </c>
      <c r="AH37" s="281"/>
      <c r="AI37" s="97"/>
      <c r="AJ37" s="55">
        <f t="shared" si="2"/>
      </c>
      <c r="AK37" s="97"/>
      <c r="AL37" s="55">
        <f t="shared" si="3"/>
      </c>
      <c r="AM37" s="97"/>
      <c r="AN37" s="55">
        <f t="shared" si="4"/>
      </c>
      <c r="AO37" s="109"/>
      <c r="AQ37" s="99"/>
      <c r="AR37" s="55">
        <f t="shared" si="5"/>
      </c>
      <c r="AS37" s="97"/>
      <c r="AT37" s="55">
        <f t="shared" si="6"/>
      </c>
      <c r="AU37" s="97"/>
      <c r="AV37" s="55">
        <f t="shared" si="7"/>
      </c>
      <c r="AX37" s="99">
        <v>61515</v>
      </c>
      <c r="AY37" s="100">
        <v>2</v>
      </c>
      <c r="AZ37" s="101">
        <v>4</v>
      </c>
      <c r="BA37" s="97">
        <v>43.4</v>
      </c>
      <c r="BB37" s="101">
        <v>27</v>
      </c>
      <c r="BC37" s="97">
        <v>24</v>
      </c>
      <c r="BD37" s="97"/>
      <c r="BE37" s="102"/>
      <c r="BG37" s="99">
        <v>24</v>
      </c>
      <c r="BH37" s="83" t="s">
        <v>210</v>
      </c>
      <c r="BI37" s="103" t="s">
        <v>211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4">
        <f>(IF(((SUM(AJ12:AJ42))=0)," ",(((AJ47-(D47*AO47*8.346))/AJ47)*100)))</f>
        <v>93.85515390776555</v>
      </c>
      <c r="CK37" s="345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4">
        <v>2708840</v>
      </c>
      <c r="D38" s="137">
        <f t="shared" si="0"/>
        <v>2.958</v>
      </c>
      <c r="E38" s="139">
        <v>4.8</v>
      </c>
      <c r="F38" s="140">
        <v>1.2</v>
      </c>
      <c r="G38" s="81" t="str">
        <f t="shared" si="8"/>
        <v>0.00</v>
      </c>
      <c r="H38" s="84">
        <v>1500</v>
      </c>
      <c r="I38" s="85">
        <v>6500</v>
      </c>
      <c r="K38" s="86" t="s">
        <v>208</v>
      </c>
      <c r="L38" s="84">
        <v>46</v>
      </c>
      <c r="M38" s="87">
        <v>0.22</v>
      </c>
      <c r="O38" s="106"/>
      <c r="Q38" s="107" t="s">
        <v>10</v>
      </c>
      <c r="R38" s="152" t="s">
        <v>10</v>
      </c>
      <c r="S38" s="108" t="s">
        <v>10</v>
      </c>
      <c r="U38" s="92">
        <v>7.21</v>
      </c>
      <c r="V38" s="93">
        <v>7.17</v>
      </c>
      <c r="W38" s="94">
        <v>6.69</v>
      </c>
      <c r="Y38" s="89">
        <v>11.3</v>
      </c>
      <c r="Z38" s="95">
        <v>11</v>
      </c>
      <c r="AA38" s="91">
        <v>12</v>
      </c>
      <c r="AC38" s="92">
        <v>4.5</v>
      </c>
      <c r="AD38" s="90">
        <v>0.01</v>
      </c>
      <c r="AE38" s="96">
        <v>0</v>
      </c>
      <c r="AG38" s="45">
        <f t="shared" si="1"/>
        <v>27</v>
      </c>
      <c r="AH38" s="281"/>
      <c r="AI38" s="97"/>
      <c r="AJ38" s="55">
        <f t="shared" si="2"/>
      </c>
      <c r="AK38" s="97"/>
      <c r="AL38" s="55">
        <f t="shared" si="3"/>
      </c>
      <c r="AM38" s="97"/>
      <c r="AN38" s="55">
        <f t="shared" si="4"/>
      </c>
      <c r="AO38" s="109"/>
      <c r="AQ38" s="99"/>
      <c r="AR38" s="55">
        <f t="shared" si="5"/>
      </c>
      <c r="AS38" s="97"/>
      <c r="AT38" s="55">
        <f t="shared" si="6"/>
      </c>
      <c r="AU38" s="97"/>
      <c r="AV38" s="55">
        <f t="shared" si="7"/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38" t="s">
        <v>150</v>
      </c>
      <c r="BR38" s="238" t="s">
        <v>150</v>
      </c>
      <c r="BS38" s="238" t="s">
        <v>150</v>
      </c>
      <c r="BT38" s="104"/>
      <c r="BU38" s="145">
        <f>(AN49)</f>
        <v>90.91512161468097</v>
      </c>
      <c r="BV38" s="238" t="s">
        <v>150</v>
      </c>
      <c r="BW38" s="238" t="s">
        <v>150</v>
      </c>
      <c r="BX38" s="104" t="s">
        <v>129</v>
      </c>
      <c r="BY38" s="104"/>
      <c r="BZ38" s="104">
        <v>0</v>
      </c>
      <c r="CA38" s="144" t="s">
        <v>49</v>
      </c>
      <c r="CB38" s="104" t="s">
        <v>26</v>
      </c>
      <c r="CC38" s="136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4">
        <v>2711780</v>
      </c>
      <c r="D39" s="137">
        <f t="shared" si="0"/>
        <v>2.94</v>
      </c>
      <c r="E39" s="139">
        <v>4.8</v>
      </c>
      <c r="F39" s="140">
        <v>1</v>
      </c>
      <c r="G39" s="81" t="str">
        <f t="shared" si="8"/>
        <v>0.00</v>
      </c>
      <c r="H39" s="84">
        <v>5300</v>
      </c>
      <c r="I39" s="85">
        <v>6000</v>
      </c>
      <c r="K39" s="86" t="s">
        <v>209</v>
      </c>
      <c r="L39" s="84">
        <v>46</v>
      </c>
      <c r="M39" s="87">
        <v>0</v>
      </c>
      <c r="O39" s="106"/>
      <c r="Q39" s="107"/>
      <c r="R39" s="152"/>
      <c r="S39" s="108"/>
      <c r="U39" s="92">
        <v>7.16</v>
      </c>
      <c r="V39" s="93">
        <v>7.08</v>
      </c>
      <c r="W39" s="94">
        <v>6.34</v>
      </c>
      <c r="Y39" s="89">
        <v>11.6</v>
      </c>
      <c r="Z39" s="95">
        <v>11.5</v>
      </c>
      <c r="AA39" s="91">
        <v>12.3</v>
      </c>
      <c r="AC39" s="92">
        <v>11</v>
      </c>
      <c r="AD39" s="90">
        <v>0.01</v>
      </c>
      <c r="AE39" s="96">
        <v>0</v>
      </c>
      <c r="AG39" s="45">
        <f t="shared" si="1"/>
        <v>28</v>
      </c>
      <c r="AH39" s="281"/>
      <c r="AI39" s="97">
        <v>193</v>
      </c>
      <c r="AJ39" s="55">
        <f t="shared" si="2"/>
        <v>4732.2828</v>
      </c>
      <c r="AK39" s="97"/>
      <c r="AL39" s="55">
        <f t="shared" si="3"/>
      </c>
      <c r="AM39" s="97">
        <v>17</v>
      </c>
      <c r="AN39" s="55">
        <f t="shared" si="4"/>
        <v>416.8332</v>
      </c>
      <c r="AO39" s="109">
        <v>12</v>
      </c>
      <c r="AQ39" s="99">
        <v>150</v>
      </c>
      <c r="AR39" s="55">
        <f t="shared" si="5"/>
        <v>3677.94</v>
      </c>
      <c r="AS39" s="97"/>
      <c r="AT39" s="55">
        <f t="shared" si="6"/>
      </c>
      <c r="AU39" s="97">
        <v>22</v>
      </c>
      <c r="AV39" s="55">
        <f t="shared" si="7"/>
        <v>539.4311999999999</v>
      </c>
      <c r="AX39" s="99"/>
      <c r="AY39" s="100"/>
      <c r="AZ39" s="101"/>
      <c r="BA39" s="97"/>
      <c r="BB39" s="101"/>
      <c r="BC39" s="97"/>
      <c r="BD39" s="97"/>
      <c r="BE39" s="102"/>
      <c r="BG39" s="99"/>
      <c r="BH39" s="83"/>
      <c r="BI39" s="103"/>
      <c r="BK39" s="17"/>
      <c r="BL39" s="19"/>
      <c r="BM39" s="26" t="s">
        <v>118</v>
      </c>
      <c r="BN39" s="20"/>
      <c r="BO39" s="153" t="s">
        <v>131</v>
      </c>
      <c r="BP39" s="26"/>
      <c r="BQ39" s="237" t="s">
        <v>150</v>
      </c>
      <c r="BR39" s="237" t="s">
        <v>150</v>
      </c>
      <c r="BS39" s="237" t="s">
        <v>150</v>
      </c>
      <c r="BT39" s="104"/>
      <c r="BU39" s="158">
        <v>85</v>
      </c>
      <c r="BV39" s="237" t="s">
        <v>150</v>
      </c>
      <c r="BW39" s="237" t="s">
        <v>150</v>
      </c>
      <c r="BX39" s="155" t="s">
        <v>129</v>
      </c>
      <c r="BY39" s="104"/>
      <c r="BZ39" s="237" t="s">
        <v>150</v>
      </c>
      <c r="CA39" s="157" t="s">
        <v>49</v>
      </c>
      <c r="CB39" s="155" t="s">
        <v>26</v>
      </c>
      <c r="CC39" s="136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3">
        <v>29</v>
      </c>
      <c r="C40" s="84">
        <v>2714636</v>
      </c>
      <c r="D40" s="137">
        <f t="shared" si="0"/>
        <v>2.856</v>
      </c>
      <c r="E40" s="139">
        <v>4.2</v>
      </c>
      <c r="F40" s="140">
        <v>1.2</v>
      </c>
      <c r="G40" s="81" t="str">
        <f t="shared" si="8"/>
        <v>0.00</v>
      </c>
      <c r="H40" s="84">
        <v>3300</v>
      </c>
      <c r="I40" s="85">
        <v>10000</v>
      </c>
      <c r="K40" s="86" t="s">
        <v>208</v>
      </c>
      <c r="L40" s="84">
        <v>48</v>
      </c>
      <c r="M40" s="87">
        <v>0</v>
      </c>
      <c r="O40" s="106"/>
      <c r="Q40" s="107" t="s">
        <v>15</v>
      </c>
      <c r="R40" s="152" t="s">
        <v>15</v>
      </c>
      <c r="S40" s="108" t="s">
        <v>15</v>
      </c>
      <c r="U40" s="92">
        <v>7.23</v>
      </c>
      <c r="V40" s="93">
        <v>7.13</v>
      </c>
      <c r="W40" s="94">
        <v>6.51</v>
      </c>
      <c r="Y40" s="89">
        <v>11.3</v>
      </c>
      <c r="Z40" s="95">
        <v>12.1</v>
      </c>
      <c r="AA40" s="91">
        <v>12.8</v>
      </c>
      <c r="AC40" s="92">
        <v>9</v>
      </c>
      <c r="AD40" s="90">
        <v>0</v>
      </c>
      <c r="AE40" s="96">
        <v>0</v>
      </c>
      <c r="AG40" s="45">
        <f t="shared" si="1"/>
        <v>29</v>
      </c>
      <c r="AH40" s="281"/>
      <c r="AI40" s="97">
        <v>225</v>
      </c>
      <c r="AJ40" s="55">
        <f t="shared" si="2"/>
        <v>5359.284</v>
      </c>
      <c r="AK40" s="97"/>
      <c r="AL40" s="55">
        <f t="shared" si="3"/>
      </c>
      <c r="AM40" s="97">
        <v>17</v>
      </c>
      <c r="AN40" s="55">
        <f t="shared" si="4"/>
        <v>404.92368</v>
      </c>
      <c r="AO40" s="109">
        <v>12</v>
      </c>
      <c r="AQ40" s="99">
        <v>176</v>
      </c>
      <c r="AR40" s="55">
        <f t="shared" si="5"/>
        <v>4192.15104</v>
      </c>
      <c r="AS40" s="97"/>
      <c r="AT40" s="55">
        <f t="shared" si="6"/>
      </c>
      <c r="AU40" s="97">
        <v>23</v>
      </c>
      <c r="AV40" s="55">
        <f t="shared" si="7"/>
        <v>547.83792</v>
      </c>
      <c r="AX40" s="99">
        <v>48235</v>
      </c>
      <c r="AY40" s="100">
        <v>2</v>
      </c>
      <c r="AZ40" s="101">
        <v>3.5</v>
      </c>
      <c r="BA40" s="97">
        <v>34.1</v>
      </c>
      <c r="BB40" s="101">
        <v>28</v>
      </c>
      <c r="BC40" s="97">
        <v>24</v>
      </c>
      <c r="BD40" s="97"/>
      <c r="BE40" s="102"/>
      <c r="BG40" s="99">
        <v>24</v>
      </c>
      <c r="BH40" s="83" t="s">
        <v>210</v>
      </c>
      <c r="BI40" s="103" t="s">
        <v>211</v>
      </c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3">
        <v>30</v>
      </c>
      <c r="C41" s="84">
        <v>2717530</v>
      </c>
      <c r="D41" s="137">
        <f t="shared" si="0"/>
        <v>2.894</v>
      </c>
      <c r="E41" s="139">
        <v>4.2</v>
      </c>
      <c r="F41" s="140">
        <v>1.1</v>
      </c>
      <c r="G41" s="81" t="str">
        <f t="shared" si="8"/>
        <v>0.00</v>
      </c>
      <c r="H41" s="84">
        <v>6000</v>
      </c>
      <c r="I41" s="85">
        <v>9750</v>
      </c>
      <c r="K41" s="86" t="s">
        <v>209</v>
      </c>
      <c r="L41" s="84">
        <v>60</v>
      </c>
      <c r="M41" s="87">
        <v>0</v>
      </c>
      <c r="O41" s="106"/>
      <c r="Q41" s="107"/>
      <c r="R41" s="152"/>
      <c r="S41" s="108"/>
      <c r="U41" s="92">
        <v>7.07</v>
      </c>
      <c r="V41" s="93">
        <v>7.13</v>
      </c>
      <c r="W41" s="94">
        <v>6.42</v>
      </c>
      <c r="Y41" s="89">
        <v>11.4</v>
      </c>
      <c r="Z41" s="95">
        <v>11.3</v>
      </c>
      <c r="AA41" s="91">
        <v>12.6</v>
      </c>
      <c r="AC41" s="92">
        <v>4.5</v>
      </c>
      <c r="AD41" s="90">
        <v>0.01</v>
      </c>
      <c r="AE41" s="96">
        <v>0</v>
      </c>
      <c r="AG41" s="45">
        <f t="shared" si="1"/>
        <v>30</v>
      </c>
      <c r="AH41" s="281"/>
      <c r="AI41" s="97">
        <v>245</v>
      </c>
      <c r="AJ41" s="55">
        <f t="shared" si="2"/>
        <v>5913.310200000001</v>
      </c>
      <c r="AK41" s="97">
        <v>157</v>
      </c>
      <c r="AL41" s="55">
        <f t="shared" si="3"/>
        <v>3789.34572</v>
      </c>
      <c r="AM41" s="97">
        <v>19</v>
      </c>
      <c r="AN41" s="55">
        <f t="shared" si="4"/>
        <v>458.58324000000005</v>
      </c>
      <c r="AO41" s="109">
        <v>15</v>
      </c>
      <c r="AQ41" s="99">
        <v>206</v>
      </c>
      <c r="AR41" s="55">
        <f t="shared" si="5"/>
        <v>4972.0077599999995</v>
      </c>
      <c r="AS41" s="97">
        <v>72</v>
      </c>
      <c r="AT41" s="55">
        <f t="shared" si="6"/>
        <v>1737.78912</v>
      </c>
      <c r="AU41" s="97">
        <v>24</v>
      </c>
      <c r="AV41" s="55">
        <f t="shared" si="7"/>
        <v>579.26304</v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3">
        <v>31</v>
      </c>
      <c r="C42" s="112"/>
      <c r="D42" s="138" t="str">
        <f t="shared" si="0"/>
        <v> </v>
      </c>
      <c r="E42" s="141"/>
      <c r="F42" s="142"/>
      <c r="G42" s="183" t="str">
        <f t="shared" si="8"/>
        <v> </v>
      </c>
      <c r="H42" s="112"/>
      <c r="I42" s="113"/>
      <c r="K42" s="114"/>
      <c r="L42" s="112"/>
      <c r="M42" s="115"/>
      <c r="O42" s="116"/>
      <c r="Q42" s="132"/>
      <c r="R42" s="111"/>
      <c r="S42" s="113"/>
      <c r="U42" s="133"/>
      <c r="V42" s="134"/>
      <c r="W42" s="135"/>
      <c r="Y42" s="132"/>
      <c r="Z42" s="112"/>
      <c r="AA42" s="113"/>
      <c r="AC42" s="133"/>
      <c r="AD42" s="111"/>
      <c r="AE42" s="115"/>
      <c r="AG42" s="45">
        <f t="shared" si="1"/>
        <v>31</v>
      </c>
      <c r="AH42" s="281"/>
      <c r="AI42" s="125"/>
      <c r="AJ42" s="65">
        <f t="shared" si="2"/>
      </c>
      <c r="AK42" s="125"/>
      <c r="AL42" s="65">
        <f t="shared" si="3"/>
      </c>
      <c r="AM42" s="125"/>
      <c r="AN42" s="65">
        <f t="shared" si="4"/>
      </c>
      <c r="AO42" s="126"/>
      <c r="AQ42" s="127"/>
      <c r="AR42" s="65">
        <f t="shared" si="5"/>
      </c>
      <c r="AS42" s="125"/>
      <c r="AT42" s="65">
        <f t="shared" si="6"/>
      </c>
      <c r="AU42" s="125"/>
      <c r="AV42" s="65">
        <f t="shared" si="7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8" t="s">
        <v>150</v>
      </c>
      <c r="BR43" s="238" t="s">
        <v>150</v>
      </c>
      <c r="BS43" s="238" t="s">
        <v>150</v>
      </c>
      <c r="BT43" s="104"/>
      <c r="BU43" s="145">
        <f>(AU49)</f>
        <v>87.2060857538036</v>
      </c>
      <c r="BV43" s="238" t="s">
        <v>150</v>
      </c>
      <c r="BW43" s="238" t="s">
        <v>150</v>
      </c>
      <c r="BX43" s="104" t="s">
        <v>129</v>
      </c>
      <c r="BY43" s="104"/>
      <c r="BZ43" s="104">
        <v>0</v>
      </c>
      <c r="CA43" s="144" t="s">
        <v>49</v>
      </c>
      <c r="CB43" s="104" t="s">
        <v>26</v>
      </c>
      <c r="CC43" s="136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8">
        <f>(IF(((SUM(C12:C42))=0)," ",((MAX(C12:C42))-C11)))</f>
        <v>89033</v>
      </c>
      <c r="D44" s="227">
        <f>(IF(((SUM(D12:D42))=0)," ",(SUM(D12:D42))))</f>
        <v>89.03299999999999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67700</v>
      </c>
      <c r="I44" s="195">
        <f>(IF(((SUM(I12:I42))=0)," ",(SUM(I12:I42))))</f>
        <v>142050</v>
      </c>
      <c r="K44" s="199" t="s">
        <v>150</v>
      </c>
      <c r="L44" s="200" t="s">
        <v>150</v>
      </c>
      <c r="M44" s="201">
        <f>(IF(((SUM(M12:M42))=0)," ",(SUM(M11:M42))))</f>
        <v>4.5</v>
      </c>
      <c r="O44" s="202" t="str">
        <f>(IF(((SUM(O12:O42))=0),"0.0",(SUM(O11:O42))))</f>
        <v>0.0</v>
      </c>
      <c r="Q44" s="198" t="str">
        <f>(IF(((SUM(Q12:Q42))=0),"0",(SUM(Q11:Q42))))</f>
        <v>0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490295</v>
      </c>
      <c r="AY44" s="200" t="s">
        <v>150</v>
      </c>
      <c r="AZ44" s="211">
        <f>(IF(((SUM(AZ12:AZ42))=0)," ",(SUM(AZ12:AZ42))))</f>
        <v>34</v>
      </c>
      <c r="BA44" s="198">
        <f>(IF(((SUM(BA12:BA42))=0)," ",(SUM(BA12:BA42))))</f>
        <v>328.59999999999997</v>
      </c>
      <c r="BB44" s="206" t="s">
        <v>150</v>
      </c>
      <c r="BC44" s="198">
        <f>(IF(((SUM(BC12:BC42))=0)," ",(SUM(BC12:BC42))))</f>
        <v>204</v>
      </c>
      <c r="BD44" s="188" t="str">
        <f>(IF(((SUM(BD12:BD42))=0)," ",(SUM(BD12:BD42))))</f>
        <v> </v>
      </c>
      <c r="BE44" s="209" t="s">
        <v>150</v>
      </c>
      <c r="BG44" s="212">
        <f>(IF(((SUM(BG12:BG42))=0)," ",(SUM(BG12:BG42))))</f>
        <v>204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37" t="s">
        <v>150</v>
      </c>
      <c r="BR44" s="237" t="s">
        <v>150</v>
      </c>
      <c r="BS44" s="237" t="s">
        <v>150</v>
      </c>
      <c r="BT44" s="104"/>
      <c r="BU44" s="158">
        <v>85</v>
      </c>
      <c r="BV44" s="237" t="s">
        <v>150</v>
      </c>
      <c r="BW44" s="237" t="s">
        <v>150</v>
      </c>
      <c r="BX44" s="155" t="s">
        <v>129</v>
      </c>
      <c r="BY44" s="104"/>
      <c r="BZ44" s="237" t="s">
        <v>150</v>
      </c>
      <c r="CA44" s="157" t="s">
        <v>49</v>
      </c>
      <c r="CB44" s="155" t="s">
        <v>26</v>
      </c>
      <c r="CC44" s="136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3.724</v>
      </c>
      <c r="E45" s="215">
        <f>(IF((SUM(E12:E42))=0," ",(MAX(E12:E42))))</f>
        <v>6</v>
      </c>
      <c r="F45" s="216">
        <f>(IF((SUM(F12:F42))=0," ",(MAX(F12:F42))))</f>
        <v>1.6</v>
      </c>
      <c r="G45" s="215">
        <f>(MAX(G12:G42))</f>
        <v>0</v>
      </c>
      <c r="H45" s="161">
        <f>(IF((SUM(H12:H42))=0," ",(MAX(H12:H42))))</f>
        <v>8000</v>
      </c>
      <c r="I45" s="162">
        <f>(IF((SUM(I12:I42))=0," ",(MAX(I12:I42))))</f>
        <v>10000</v>
      </c>
      <c r="K45" s="179" t="s">
        <v>150</v>
      </c>
      <c r="L45" s="182">
        <f>(IF((SUM(L12:L42))=0," ",(MAX(L12:L42))))</f>
        <v>60</v>
      </c>
      <c r="M45" s="218">
        <f>(IF((SUM(M12:M42))=0," ",(MAX(M12:M42))))</f>
        <v>1.37</v>
      </c>
      <c r="O45" s="219" t="s">
        <v>150</v>
      </c>
      <c r="Q45" s="220" t="s">
        <v>150</v>
      </c>
      <c r="R45" s="232" t="str">
        <f>(IF(((SUM(R12:R42))=0),"-",(MAX(R12:R42))))</f>
        <v>-</v>
      </c>
      <c r="S45" s="233" t="str">
        <f>(IF(((SUM(S12:S42))=0),"-",(MAX(S12:S42))))</f>
        <v>-</v>
      </c>
      <c r="U45" s="221">
        <f>(IF((SUM(U12:U42))=0," ",(MAX(U12:U42))))</f>
        <v>7.68</v>
      </c>
      <c r="V45" s="182">
        <f>(IF((SUM(V12:V42))=0," ",(MAX(V12:V42))))</f>
        <v>7.17</v>
      </c>
      <c r="W45" s="222">
        <f>(IF((SUM(W12:W42))=0," ",(MAX(W12:W42))))</f>
        <v>7.4</v>
      </c>
      <c r="Y45" s="217">
        <f>(IF((SUM(Y12:Y42))=0," ",(MAX(Y12:Y42))))</f>
        <v>11.6</v>
      </c>
      <c r="Z45" s="161">
        <f>(IF((SUM(Z12:Z42))=0," ",(MAX(Z12:Z42))))</f>
        <v>12.1</v>
      </c>
      <c r="AA45" s="162">
        <f>(IF((SUM(AA12:AA42))=0," ",(MAX(AA12:AA42))))</f>
        <v>12.9</v>
      </c>
      <c r="AC45" s="221">
        <f>(IF((SUM(AC12:AC42))=0," ",(MAX(AC12:AC42))))</f>
        <v>15</v>
      </c>
      <c r="AD45" s="183">
        <f>(IF((SUM(AD12:AD42))=0," ",(MAX(AD12:AD42))))</f>
        <v>0.3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263</v>
      </c>
      <c r="AJ45" s="161">
        <f t="shared" si="9"/>
        <v>7363.31094</v>
      </c>
      <c r="AK45" s="217">
        <f t="shared" si="9"/>
        <v>180</v>
      </c>
      <c r="AL45" s="162">
        <f t="shared" si="9"/>
        <v>3844.8233999999998</v>
      </c>
      <c r="AM45" s="217">
        <f t="shared" si="9"/>
        <v>24</v>
      </c>
      <c r="AN45" s="162">
        <f t="shared" si="9"/>
        <v>714.33768</v>
      </c>
      <c r="AO45" s="223">
        <f t="shared" si="9"/>
        <v>16</v>
      </c>
      <c r="AQ45" s="217">
        <f aca="true" t="shared" si="10" ref="AQ45:AV45">(IF((SUM(AQ12:AQ42))=0," ",(MAX(AQ12:AQ42))))</f>
        <v>298</v>
      </c>
      <c r="AR45" s="162">
        <f t="shared" si="10"/>
        <v>8343.21924</v>
      </c>
      <c r="AS45" s="217">
        <f t="shared" si="10"/>
        <v>85</v>
      </c>
      <c r="AT45" s="162">
        <f t="shared" si="10"/>
        <v>2331.04668</v>
      </c>
      <c r="AU45" s="217">
        <f t="shared" si="10"/>
        <v>40</v>
      </c>
      <c r="AV45" s="162">
        <f t="shared" si="10"/>
        <v>993.86112</v>
      </c>
      <c r="AX45" s="220" t="s">
        <v>150</v>
      </c>
      <c r="AY45" s="182">
        <f>(IF((SUM(AY12:AY42))=0," ",(MAX(AY12:AY42))))</f>
        <v>3</v>
      </c>
      <c r="AZ45" s="224" t="s">
        <v>150</v>
      </c>
      <c r="BA45" s="220" t="s">
        <v>150</v>
      </c>
      <c r="BB45" s="222">
        <f>(IF((SUM(BB12:BB42))=0," ",(MAX(BB12:BB42))))</f>
        <v>30</v>
      </c>
      <c r="BC45" s="220" t="s">
        <v>150</v>
      </c>
      <c r="BD45" s="178" t="s">
        <v>150</v>
      </c>
      <c r="BE45" s="218" t="str">
        <f>(IF((SUM(BE12:BE42))=0," ",(MAX(BE12:BE42))))</f>
        <v> </v>
      </c>
      <c r="BG45" s="225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2.473</v>
      </c>
      <c r="E46" s="226">
        <f>(IF((SUM(E12:E42))=0," ",(MIN(E12:E42))))</f>
        <v>3.8</v>
      </c>
      <c r="F46" s="227">
        <f>(IF((SUM(F12:F42))=0," ",(MIN(F12:F42))))</f>
        <v>0.6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32</v>
      </c>
      <c r="M46" s="201">
        <f>(IF((SUM(M12:M42))=0," ",(MIN(M12:M42))))</f>
        <v>0</v>
      </c>
      <c r="O46" s="228" t="s">
        <v>150</v>
      </c>
      <c r="Q46" s="207" t="s">
        <v>150</v>
      </c>
      <c r="R46" s="203" t="str">
        <f>(IF(((SUM(R12:R42))=0),"-",(MIN(R12:R42))))</f>
        <v>-</v>
      </c>
      <c r="S46" s="204" t="str">
        <f>(IF(((SUM(S12:S42))=0),"-",(MIN(S12:S42))))</f>
        <v>-</v>
      </c>
      <c r="U46" s="229">
        <f>(IF((SUM(U12:U42))=0," ",(MIN(U12:U42))))</f>
        <v>6.82</v>
      </c>
      <c r="V46" s="191">
        <f>(IF((SUM(V12:V42))=0," ",(MIN(V12:V42))))</f>
        <v>6.86</v>
      </c>
      <c r="W46" s="211">
        <f>(IF((SUM(W12:W42))=0," ",(MIN(W12:W42))))</f>
        <v>6.06</v>
      </c>
      <c r="Y46" s="198">
        <f aca="true" t="shared" si="11" ref="Y46:AD46">(IF((SUM(Y12:Y42))=0," ",(MIN(Y12:Y42))))</f>
        <v>9.8</v>
      </c>
      <c r="Z46" s="188">
        <f t="shared" si="11"/>
        <v>9.5</v>
      </c>
      <c r="AA46" s="195">
        <f t="shared" si="11"/>
        <v>9.9</v>
      </c>
      <c r="AB46" t="str">
        <f t="shared" si="11"/>
        <v> </v>
      </c>
      <c r="AC46" s="229">
        <f t="shared" si="11"/>
        <v>1.5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166</v>
      </c>
      <c r="AJ46" s="188">
        <f t="shared" si="12"/>
        <v>4171.05084</v>
      </c>
      <c r="AK46" s="198">
        <f t="shared" si="12"/>
        <v>120</v>
      </c>
      <c r="AL46" s="195">
        <f t="shared" si="12"/>
        <v>3540.8304</v>
      </c>
      <c r="AM46" s="198">
        <f t="shared" si="12"/>
        <v>15</v>
      </c>
      <c r="AN46" s="195">
        <f t="shared" si="12"/>
        <v>360.28799999999995</v>
      </c>
      <c r="AO46" s="230">
        <f t="shared" si="12"/>
        <v>11</v>
      </c>
      <c r="AQ46" s="198">
        <f aca="true" t="shared" si="13" ref="AQ46:AV46">(IF((SUM(AQ12:AQ42))=0," ",(MIN(AQ12:AQ42))))</f>
        <v>136</v>
      </c>
      <c r="AR46" s="195">
        <f t="shared" si="13"/>
        <v>3677.94</v>
      </c>
      <c r="AS46" s="198">
        <f t="shared" si="13"/>
        <v>71</v>
      </c>
      <c r="AT46" s="195">
        <f t="shared" si="13"/>
        <v>1469.0993399999998</v>
      </c>
      <c r="AU46" s="198">
        <f t="shared" si="13"/>
        <v>18</v>
      </c>
      <c r="AV46" s="195">
        <f t="shared" si="13"/>
        <v>432.34559999999993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26</v>
      </c>
      <c r="BC46" s="207" t="s">
        <v>150</v>
      </c>
      <c r="BD46" s="208" t="s">
        <v>150</v>
      </c>
      <c r="BE46" s="201" t="str">
        <f>(IF((SUM(BE12:BE42))=0," ",(MIN(BE12:BE42))))</f>
        <v> </v>
      </c>
      <c r="BG46" s="231" t="s">
        <v>150</v>
      </c>
      <c r="BH46" s="213" t="s">
        <v>150</v>
      </c>
      <c r="BI46" s="214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2.9677666666666664</v>
      </c>
      <c r="E47" s="215">
        <f>(IF((SUM(E12:E42))=0," ",(AVERAGE(E12:E42))))</f>
        <v>4.703333333333332</v>
      </c>
      <c r="F47" s="216">
        <f>(IF((SUM(F12:F42))=0," ",(AVERAGE(F12:F42))))</f>
        <v>1.1533333333333333</v>
      </c>
      <c r="G47" s="215" t="str">
        <f>(IF((SUM(G12:G42))=0,"0.000",(AVERAGE(G12:G42))))</f>
        <v>0.000</v>
      </c>
      <c r="H47" s="161">
        <f>(IF((SUM(H12:H42))=0," ",(AVERAGE(H12:H42))))</f>
        <v>2256.6666666666665</v>
      </c>
      <c r="I47" s="162">
        <f>(IF((SUM(I12:I42))=0," ",(AVERAGE(I12:I42))))</f>
        <v>4735</v>
      </c>
      <c r="K47" s="179" t="s">
        <v>150</v>
      </c>
      <c r="L47" s="182">
        <f>(IF((SUM(L12:L42))=0," ",(AVERAGE(L12:L42))))</f>
        <v>43.91</v>
      </c>
      <c r="M47" s="218">
        <f>(IF((SUM(M12:M42))=0," ",(AVERAGE(M12:M42))))</f>
        <v>0.15</v>
      </c>
      <c r="O47" s="219" t="s">
        <v>150</v>
      </c>
      <c r="Q47" s="217" t="str">
        <f>(IF((SUM(Q12:Q42))=0," ",(AVERAGE(Q12:Q42))))</f>
        <v> </v>
      </c>
      <c r="R47" s="232" t="s">
        <v>150</v>
      </c>
      <c r="S47" s="233" t="s">
        <v>150</v>
      </c>
      <c r="U47" s="221">
        <f>(IF((SUM(U12:U42))=0," ",(AVERAGE(U12:U42))))</f>
        <v>7.058666666666666</v>
      </c>
      <c r="V47" s="182">
        <f>(IF((SUM(V12:V42))=0," ",(AVERAGE(V12:V42))))</f>
        <v>7.015666666666666</v>
      </c>
      <c r="W47" s="222">
        <f>(IF((SUM(W12:W42))=0," ",(AVERAGE(W12:W42))))</f>
        <v>6.5536666666666665</v>
      </c>
      <c r="Y47" s="217">
        <f>(IF((SUM(Y12:Y42))=0," ",(AVERAGE(Y12:Y42))))</f>
        <v>10.723333333333333</v>
      </c>
      <c r="Z47" s="161">
        <f>(IF((SUM(Z12:Z42))=0," ",(AVERAGE(Z12:Z42))))</f>
        <v>10.496666666666666</v>
      </c>
      <c r="AA47" s="162">
        <f>(IF((SUM(AA12:AA42))=0," ",(AVERAGE(AA12:AA42))))</f>
        <v>11.330000000000002</v>
      </c>
      <c r="AC47" s="221">
        <f>(IF((SUM(AC12:AC42))=0," ",(AVERAGE(AC12:AC42))))</f>
        <v>5.083333333333333</v>
      </c>
      <c r="AD47" s="183">
        <f>(IF((SUM(AD12:AD42))=0," ",(AVERAGE(AD12:AD42))))</f>
        <v>0.026333333333333337</v>
      </c>
      <c r="AE47" s="218">
        <f>(IF((COUNT(AE12:AE42))=0," ",(AVERAGE(AE12:AE42))))</f>
        <v>0.0006666666666666666</v>
      </c>
      <c r="AG47" s="26" t="str">
        <f>($A47)</f>
        <v>Average</v>
      </c>
      <c r="AI47" s="161">
        <f aca="true" t="shared" si="14" ref="AI47:AO47">(IF((SUM(AI12:AI42))=0," ",(AVERAGE(AI12:AI42))))</f>
        <v>214.71428571428572</v>
      </c>
      <c r="AJ47" s="161">
        <f t="shared" si="14"/>
        <v>5457.156878571428</v>
      </c>
      <c r="AK47" s="217">
        <f t="shared" si="14"/>
        <v>155.6</v>
      </c>
      <c r="AL47" s="162">
        <f t="shared" si="14"/>
        <v>3737.6210399999995</v>
      </c>
      <c r="AM47" s="217">
        <f t="shared" si="14"/>
        <v>19.285714285714285</v>
      </c>
      <c r="AN47" s="162">
        <f t="shared" si="14"/>
        <v>495.77606571428583</v>
      </c>
      <c r="AO47" s="223">
        <f t="shared" si="14"/>
        <v>13.538461538461538</v>
      </c>
      <c r="AQ47" s="217">
        <f aca="true" t="shared" si="15" ref="AQ47:AV47">(IF((SUM(AQ12:AQ42))=0," ",(AVERAGE(AQ12:AQ42))))</f>
        <v>206.57142857142858</v>
      </c>
      <c r="AR47" s="162">
        <f t="shared" si="15"/>
        <v>5255.2627542857135</v>
      </c>
      <c r="AS47" s="217">
        <f t="shared" si="15"/>
        <v>78.2</v>
      </c>
      <c r="AT47" s="162">
        <f t="shared" si="15"/>
        <v>1911.7264919999998</v>
      </c>
      <c r="AU47" s="217">
        <f t="shared" si="15"/>
        <v>26.428571428571427</v>
      </c>
      <c r="AV47" s="162">
        <f t="shared" si="15"/>
        <v>679.5056699999999</v>
      </c>
      <c r="AX47" s="217">
        <f aca="true" t="shared" si="16" ref="AX47:BE47">(IF((SUM(AX12:AX42))=0," ",(AVERAGE(AX12:AX42))))</f>
        <v>54477.22222222222</v>
      </c>
      <c r="AY47" s="182">
        <f t="shared" si="16"/>
        <v>2.5555555555555554</v>
      </c>
      <c r="AZ47" s="222">
        <f t="shared" si="16"/>
        <v>3.7777777777777777</v>
      </c>
      <c r="BA47" s="217">
        <f t="shared" si="16"/>
        <v>36.511111111111106</v>
      </c>
      <c r="BB47" s="222">
        <f t="shared" si="16"/>
        <v>27.666666666666668</v>
      </c>
      <c r="BC47" s="217">
        <f t="shared" si="16"/>
        <v>22.666666666666668</v>
      </c>
      <c r="BD47" s="161" t="str">
        <f t="shared" si="16"/>
        <v> </v>
      </c>
      <c r="BE47" s="218" t="str">
        <f t="shared" si="16"/>
        <v> </v>
      </c>
      <c r="BG47" s="132">
        <f>(IF((SUM(BG12:BG42))=0," ",(AVERAGE(BG12:BG42))))</f>
        <v>22.666666666666668</v>
      </c>
      <c r="BH47" s="180" t="s">
        <v>150</v>
      </c>
      <c r="BI47" s="181" t="s">
        <v>150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41" t="str">
        <f>(IF(((SUM(S12:S42))=0),"-",(GEOMEAN(S12:S42))))</f>
        <v>-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90.91512161468097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87.2060857538036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4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82"/>
      <c r="BM53" s="281"/>
      <c r="BN53" s="282"/>
      <c r="BO53" s="281"/>
      <c r="BP53" s="282"/>
      <c r="BQ53" s="281"/>
      <c r="BR53" s="281"/>
      <c r="BS53" s="281"/>
      <c r="BT53" s="282"/>
      <c r="BU53" s="281"/>
      <c r="BV53" s="281"/>
      <c r="BW53" s="281"/>
      <c r="BX53" s="281"/>
      <c r="BY53" s="282"/>
      <c r="BZ53" s="281"/>
      <c r="CA53" s="281"/>
      <c r="CB53" s="281"/>
      <c r="CC53" s="282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4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82"/>
      <c r="BM54" s="281"/>
      <c r="BN54" s="282"/>
      <c r="BO54" s="281"/>
      <c r="BP54" s="282"/>
      <c r="BQ54" s="281"/>
      <c r="BR54" s="281"/>
      <c r="BS54" s="281"/>
      <c r="BT54" s="282"/>
      <c r="BU54" s="281"/>
      <c r="BV54" s="281"/>
      <c r="BW54" s="281"/>
      <c r="BX54" s="281"/>
      <c r="BY54" s="282"/>
      <c r="BZ54" s="281"/>
      <c r="CA54" s="281"/>
      <c r="CB54" s="281"/>
      <c r="CC54" s="282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4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4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4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4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4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4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paperSize="3" scale="80" r:id="rId1"/>
  <colBreaks count="2" manualBreakCount="2">
    <brk id="32" max="50" man="1"/>
    <brk id="62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195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May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May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0">
        <v>2717530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4">
        <v>2720315</v>
      </c>
      <c r="D12" s="137">
        <f aca="true" t="shared" si="0" ref="D12:D42">(IF(C12=0," ",((C12-C11)/1000)))</f>
        <v>2.785</v>
      </c>
      <c r="E12" s="139">
        <v>5</v>
      </c>
      <c r="F12" s="140">
        <v>1</v>
      </c>
      <c r="G12" s="81" t="str">
        <f>(IF(C12=0," ","0.00"))</f>
        <v>0.00</v>
      </c>
      <c r="H12" s="84">
        <v>1800</v>
      </c>
      <c r="I12" s="85">
        <v>2000</v>
      </c>
      <c r="K12" s="86" t="s">
        <v>209</v>
      </c>
      <c r="L12" s="84">
        <v>58</v>
      </c>
      <c r="M12" s="87">
        <v>0</v>
      </c>
      <c r="O12" s="88"/>
      <c r="Q12" s="347" t="s">
        <v>192</v>
      </c>
      <c r="R12" s="347" t="s">
        <v>192</v>
      </c>
      <c r="S12" s="347" t="s">
        <v>192</v>
      </c>
      <c r="U12" s="92">
        <v>7.02</v>
      </c>
      <c r="V12" s="93">
        <v>6.96</v>
      </c>
      <c r="W12" s="94">
        <v>6.4</v>
      </c>
      <c r="Y12" s="89">
        <v>11.2</v>
      </c>
      <c r="Z12" s="95">
        <v>11.3</v>
      </c>
      <c r="AA12" s="91">
        <v>12.7</v>
      </c>
      <c r="AC12" s="92">
        <v>5</v>
      </c>
      <c r="AD12" s="90">
        <v>0.01</v>
      </c>
      <c r="AE12" s="96">
        <v>0</v>
      </c>
      <c r="AG12" s="45">
        <f aca="true" t="shared" si="1" ref="AG12:AG42">($A12)</f>
        <v>1</v>
      </c>
      <c r="AH12" s="281"/>
      <c r="AI12" s="97"/>
      <c r="AJ12" s="55">
        <f aca="true" t="shared" si="2" ref="AJ12:AJ42">IF(AI12=0,"",(D12*AI12*8.34))</f>
      </c>
      <c r="AK12" s="97"/>
      <c r="AL12" s="55">
        <f aca="true" t="shared" si="3" ref="AL12:AL42">IF(AK12=0,"",(D12*AK12*8.34))</f>
      </c>
      <c r="AM12" s="97"/>
      <c r="AN12" s="55">
        <f aca="true" t="shared" si="4" ref="AN12:AN42">IF(AM12=0,"",(D12*AM12*8.34))</f>
      </c>
      <c r="AO12" s="98"/>
      <c r="AQ12" s="99"/>
      <c r="AR12" s="55">
        <f aca="true" t="shared" si="5" ref="AR12:AR42">IF(AQ12=0,"",(D12*AQ12*8.34))</f>
      </c>
      <c r="AS12" s="97"/>
      <c r="AT12" s="55">
        <f aca="true" t="shared" si="6" ref="AT12:AT42">IF(AS12=0,"",(D12*AS12*8.34))</f>
      </c>
      <c r="AU12" s="97"/>
      <c r="AV12" s="55">
        <f aca="true" t="shared" si="7" ref="AV12:AV42">IF(AU12=0,"",(D12*AU12*8.34))</f>
      </c>
      <c r="AX12" s="99"/>
      <c r="AY12" s="100"/>
      <c r="AZ12" s="101"/>
      <c r="BA12" s="97"/>
      <c r="BB12" s="101"/>
      <c r="BC12" s="97"/>
      <c r="BD12" s="97"/>
      <c r="BE12" s="102"/>
      <c r="BG12" s="99"/>
      <c r="BH12" s="83"/>
      <c r="BI12" s="103"/>
      <c r="BK12" s="17"/>
      <c r="BL12" s="19"/>
      <c r="BM12" s="56" t="s">
        <v>117</v>
      </c>
      <c r="BN12" s="20"/>
      <c r="BO12" s="57" t="s">
        <v>130</v>
      </c>
      <c r="BP12" s="26"/>
      <c r="BQ12" s="149">
        <f>(IF(((SUM(AN12:AN42))=0)," ",(AVERAGE(AN12:AN42))))</f>
        <v>449.02143</v>
      </c>
      <c r="BR12" s="149">
        <f>MAX(AN12:AN42)</f>
        <v>552.3164999999999</v>
      </c>
      <c r="BS12" s="104" t="s">
        <v>126</v>
      </c>
      <c r="BT12" s="104"/>
      <c r="BU12" s="149">
        <f>(IF(((SUM(AM12:AM42))=0)," ",(AVERAGE(AM12:AM42))))</f>
        <v>18.916666666666668</v>
      </c>
      <c r="BV12" s="143">
        <f>(CG23)</f>
        <v>20</v>
      </c>
      <c r="BW12" s="149">
        <f>MAX(AM12:AM42)</f>
        <v>25</v>
      </c>
      <c r="BX12" s="104" t="s">
        <v>128</v>
      </c>
      <c r="BY12" s="104"/>
      <c r="BZ12" s="104">
        <v>0</v>
      </c>
      <c r="CA12" s="144" t="s">
        <v>47</v>
      </c>
      <c r="CB12" s="104">
        <v>24</v>
      </c>
      <c r="CC12" s="136"/>
      <c r="CE12" s="24"/>
      <c r="CF12" s="20" t="s">
        <v>138</v>
      </c>
      <c r="CG12" s="105">
        <f>(IF(((SUM(AM16:AM18))=0)," ",(AVERAGE(AM16:AM18))))</f>
        <v>18.666666666666668</v>
      </c>
      <c r="CH12" s="105">
        <f>(IF(((SUM(AN16:AN18))=0)," ",(AVERAGE(AN16:AN18))))</f>
        <v>477.91535999999996</v>
      </c>
      <c r="CI12" s="105"/>
      <c r="CJ12" s="105">
        <f>(IF(((SUM(AU16:AU18))=0)," ",(AVERAGE(AU16:AU18))))</f>
        <v>25.333333333333332</v>
      </c>
      <c r="CK12" s="105">
        <f>(IF(((SUM(AV16:AV18))=0)," ",(AVERAGE(AV16:AV18))))</f>
        <v>649.0855200000001</v>
      </c>
      <c r="CL12" s="239"/>
      <c r="CM12" s="151">
        <f>(AVERAGE(AE12:AE19))</f>
        <v>0.00125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4">
        <v>2722964</v>
      </c>
      <c r="D13" s="137">
        <f t="shared" si="0"/>
        <v>2.649</v>
      </c>
      <c r="E13" s="139">
        <v>5.2</v>
      </c>
      <c r="F13" s="140">
        <v>1</v>
      </c>
      <c r="G13" s="81" t="str">
        <f aca="true" t="shared" si="8" ref="G13:G42">(IF(C13=0," ","0.00"))</f>
        <v>0.00</v>
      </c>
      <c r="H13" s="84">
        <v>0</v>
      </c>
      <c r="I13" s="85">
        <v>0</v>
      </c>
      <c r="K13" s="86" t="s">
        <v>209</v>
      </c>
      <c r="L13" s="84">
        <v>58</v>
      </c>
      <c r="M13" s="87">
        <v>0.02</v>
      </c>
      <c r="O13" s="106"/>
      <c r="Q13" s="347"/>
      <c r="R13" s="347"/>
      <c r="S13" s="347"/>
      <c r="U13" s="92">
        <v>7.09</v>
      </c>
      <c r="V13" s="93">
        <v>7.11</v>
      </c>
      <c r="W13" s="94">
        <v>6.43</v>
      </c>
      <c r="Y13" s="89">
        <v>11.3</v>
      </c>
      <c r="Z13" s="95">
        <v>11.8</v>
      </c>
      <c r="AA13" s="91">
        <v>13.4</v>
      </c>
      <c r="AC13" s="92">
        <v>2.5</v>
      </c>
      <c r="AD13" s="90">
        <v>0</v>
      </c>
      <c r="AE13" s="96">
        <v>0</v>
      </c>
      <c r="AG13" s="45">
        <f t="shared" si="1"/>
        <v>2</v>
      </c>
      <c r="AH13" s="281"/>
      <c r="AI13" s="97"/>
      <c r="AJ13" s="55">
        <f t="shared" si="2"/>
      </c>
      <c r="AK13" s="97"/>
      <c r="AL13" s="55">
        <f t="shared" si="3"/>
      </c>
      <c r="AM13" s="97"/>
      <c r="AN13" s="55">
        <f t="shared" si="4"/>
      </c>
      <c r="AO13" s="109"/>
      <c r="AQ13" s="99"/>
      <c r="AR13" s="55">
        <f t="shared" si="5"/>
      </c>
      <c r="AS13" s="97"/>
      <c r="AT13" s="55">
        <f t="shared" si="6"/>
      </c>
      <c r="AU13" s="97"/>
      <c r="AV13" s="55">
        <f t="shared" si="7"/>
      </c>
      <c r="AX13" s="99"/>
      <c r="AY13" s="100"/>
      <c r="AZ13" s="101"/>
      <c r="BA13" s="97"/>
      <c r="BB13" s="101"/>
      <c r="BC13" s="97"/>
      <c r="BD13" s="97"/>
      <c r="BE13" s="102"/>
      <c r="BG13" s="99"/>
      <c r="BH13" s="83"/>
      <c r="BI13" s="103"/>
      <c r="BK13" s="17"/>
      <c r="BL13" s="19"/>
      <c r="BM13" s="26" t="s">
        <v>86</v>
      </c>
      <c r="BN13" s="20"/>
      <c r="BO13" s="153" t="s">
        <v>131</v>
      </c>
      <c r="BP13" s="26"/>
      <c r="BQ13" s="236">
        <v>963</v>
      </c>
      <c r="BR13" s="236">
        <v>1605</v>
      </c>
      <c r="BS13" s="155" t="s">
        <v>126</v>
      </c>
      <c r="BT13" s="104"/>
      <c r="BU13" s="236">
        <v>30</v>
      </c>
      <c r="BV13" s="156">
        <v>45</v>
      </c>
      <c r="BW13" s="236">
        <v>50</v>
      </c>
      <c r="BX13" s="155" t="s">
        <v>128</v>
      </c>
      <c r="BY13" s="104"/>
      <c r="BZ13" s="237" t="s">
        <v>150</v>
      </c>
      <c r="CA13" s="157" t="s">
        <v>47</v>
      </c>
      <c r="CB13" s="155">
        <v>24</v>
      </c>
      <c r="CC13" s="136"/>
      <c r="CE13" s="24"/>
      <c r="CF13" s="20"/>
      <c r="CG13" s="105"/>
      <c r="CH13" s="105"/>
      <c r="CI13" s="105"/>
      <c r="CJ13" s="105"/>
      <c r="CK13" s="105"/>
      <c r="CL13" s="239"/>
      <c r="CM13" s="151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4">
        <v>2725630</v>
      </c>
      <c r="D14" s="137">
        <f t="shared" si="0"/>
        <v>2.666</v>
      </c>
      <c r="E14" s="139">
        <v>4.8</v>
      </c>
      <c r="F14" s="140">
        <v>1</v>
      </c>
      <c r="G14" s="81" t="str">
        <f t="shared" si="8"/>
        <v>0.00</v>
      </c>
      <c r="H14" s="84">
        <v>2800</v>
      </c>
      <c r="I14" s="85">
        <v>8750</v>
      </c>
      <c r="K14" s="86" t="s">
        <v>208</v>
      </c>
      <c r="L14" s="84">
        <v>55</v>
      </c>
      <c r="M14" s="87">
        <v>0.69</v>
      </c>
      <c r="O14" s="106"/>
      <c r="Q14" s="347"/>
      <c r="R14" s="347"/>
      <c r="S14" s="347"/>
      <c r="U14" s="92">
        <v>7.01</v>
      </c>
      <c r="V14" s="93">
        <v>6.94</v>
      </c>
      <c r="W14" s="94">
        <v>6.5</v>
      </c>
      <c r="Y14" s="89">
        <v>12</v>
      </c>
      <c r="Z14" s="95">
        <v>12</v>
      </c>
      <c r="AA14" s="91">
        <v>13.4</v>
      </c>
      <c r="AC14" s="92">
        <v>4.5</v>
      </c>
      <c r="AD14" s="90">
        <v>0.01</v>
      </c>
      <c r="AE14" s="96">
        <v>0</v>
      </c>
      <c r="AG14" s="45">
        <f t="shared" si="1"/>
        <v>3</v>
      </c>
      <c r="AH14" s="281"/>
      <c r="AI14" s="97"/>
      <c r="AJ14" s="55">
        <f t="shared" si="2"/>
      </c>
      <c r="AK14" s="97"/>
      <c r="AL14" s="55">
        <f t="shared" si="3"/>
      </c>
      <c r="AM14" s="97"/>
      <c r="AN14" s="55">
        <f t="shared" si="4"/>
      </c>
      <c r="AO14" s="109"/>
      <c r="AQ14" s="99"/>
      <c r="AR14" s="55">
        <f t="shared" si="5"/>
      </c>
      <c r="AS14" s="97"/>
      <c r="AT14" s="55">
        <f t="shared" si="6"/>
      </c>
      <c r="AU14" s="97"/>
      <c r="AV14" s="55">
        <f t="shared" si="7"/>
      </c>
      <c r="AX14" s="99">
        <v>57277</v>
      </c>
      <c r="AY14" s="100">
        <v>3</v>
      </c>
      <c r="AZ14" s="101">
        <v>4</v>
      </c>
      <c r="BA14" s="97">
        <v>40.3</v>
      </c>
      <c r="BB14" s="101">
        <v>28</v>
      </c>
      <c r="BC14" s="97">
        <v>24</v>
      </c>
      <c r="BD14" s="97"/>
      <c r="BE14" s="102"/>
      <c r="BG14" s="99">
        <v>24</v>
      </c>
      <c r="BH14" s="83" t="s">
        <v>210</v>
      </c>
      <c r="BI14" s="103" t="s">
        <v>211</v>
      </c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(IF(((SUM(AM23:AM25))=0)," ",(AVERAGE(AM23:AM25))))</f>
        <v>19</v>
      </c>
      <c r="CH14" s="105">
        <f>(IF(((SUM(AN23:AN25))=0)," ",(AVERAGE(AN23:AN25))))</f>
        <v>422.3515</v>
      </c>
      <c r="CI14" s="105"/>
      <c r="CJ14" s="105">
        <f>(IF(((SUM(AU23:AU25))=0)," ",(AVERAGE(AU23:AU25))))</f>
        <v>26.333333333333332</v>
      </c>
      <c r="CK14" s="105">
        <f>(IF(((SUM(AV23:AV25))=0)," ",(AVERAGE(AV23:AV25))))</f>
        <v>585.3429</v>
      </c>
      <c r="CL14" s="239"/>
      <c r="CM14" s="151">
        <f>(AVERAGE(AE20:AE26))</f>
        <v>0.0014285714285714286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4">
        <v>2728622</v>
      </c>
      <c r="D15" s="137">
        <f t="shared" si="0"/>
        <v>2.992</v>
      </c>
      <c r="E15" s="139">
        <v>4.3</v>
      </c>
      <c r="F15" s="140">
        <v>1</v>
      </c>
      <c r="G15" s="81" t="str">
        <f t="shared" si="8"/>
        <v>0.00</v>
      </c>
      <c r="H15" s="84">
        <v>2000</v>
      </c>
      <c r="I15" s="85">
        <v>8500</v>
      </c>
      <c r="K15" s="86" t="s">
        <v>213</v>
      </c>
      <c r="L15" s="84">
        <v>46</v>
      </c>
      <c r="M15" s="87">
        <v>0.32</v>
      </c>
      <c r="O15" s="106"/>
      <c r="Q15" s="347"/>
      <c r="R15" s="347"/>
      <c r="S15" s="347"/>
      <c r="U15" s="92">
        <v>7.07</v>
      </c>
      <c r="V15" s="93">
        <v>6.99</v>
      </c>
      <c r="W15" s="94">
        <v>6.43</v>
      </c>
      <c r="Y15" s="89">
        <v>11.9</v>
      </c>
      <c r="Z15" s="95">
        <v>11.4</v>
      </c>
      <c r="AA15" s="91">
        <v>12.7</v>
      </c>
      <c r="AC15" s="92">
        <v>7</v>
      </c>
      <c r="AD15" s="90">
        <v>0.1</v>
      </c>
      <c r="AE15" s="96">
        <v>0</v>
      </c>
      <c r="AG15" s="45">
        <f t="shared" si="1"/>
        <v>4</v>
      </c>
      <c r="AH15" s="281"/>
      <c r="AI15" s="97"/>
      <c r="AJ15" s="55">
        <f t="shared" si="2"/>
      </c>
      <c r="AK15" s="97"/>
      <c r="AL15" s="55">
        <f t="shared" si="3"/>
      </c>
      <c r="AM15" s="97"/>
      <c r="AN15" s="55">
        <f t="shared" si="4"/>
      </c>
      <c r="AO15" s="109"/>
      <c r="AQ15" s="99"/>
      <c r="AR15" s="55">
        <f t="shared" si="5"/>
      </c>
      <c r="AS15" s="97"/>
      <c r="AT15" s="55">
        <f t="shared" si="6"/>
      </c>
      <c r="AU15" s="97"/>
      <c r="AV15" s="55">
        <f t="shared" si="7"/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105"/>
      <c r="CH15" s="105"/>
      <c r="CI15" s="105"/>
      <c r="CJ15" s="105"/>
      <c r="CK15" s="105"/>
      <c r="CL15" s="239"/>
      <c r="CM15" s="151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2">
        <v>2731643</v>
      </c>
      <c r="D16" s="138">
        <f t="shared" si="0"/>
        <v>3.021</v>
      </c>
      <c r="E16" s="141">
        <v>6.2</v>
      </c>
      <c r="F16" s="142">
        <v>0.8</v>
      </c>
      <c r="G16" s="183" t="str">
        <f t="shared" si="8"/>
        <v>0.00</v>
      </c>
      <c r="H16" s="112">
        <v>0</v>
      </c>
      <c r="I16" s="113">
        <v>9200</v>
      </c>
      <c r="K16" s="114" t="s">
        <v>209</v>
      </c>
      <c r="L16" s="112">
        <v>47</v>
      </c>
      <c r="M16" s="115">
        <v>0</v>
      </c>
      <c r="O16" s="116"/>
      <c r="Q16" s="347"/>
      <c r="R16" s="347"/>
      <c r="S16" s="347"/>
      <c r="U16" s="117">
        <v>7.02</v>
      </c>
      <c r="V16" s="118">
        <v>6.96</v>
      </c>
      <c r="W16" s="119">
        <v>6.55</v>
      </c>
      <c r="Y16" s="120">
        <v>11.9</v>
      </c>
      <c r="Z16" s="121">
        <v>11.8</v>
      </c>
      <c r="AA16" s="122">
        <v>12.6</v>
      </c>
      <c r="AC16" s="117">
        <v>4</v>
      </c>
      <c r="AD16" s="123">
        <v>0.01</v>
      </c>
      <c r="AE16" s="124">
        <v>0</v>
      </c>
      <c r="AG16" s="45">
        <f t="shared" si="1"/>
        <v>5</v>
      </c>
      <c r="AH16" s="281"/>
      <c r="AI16" s="125">
        <v>239</v>
      </c>
      <c r="AJ16" s="65">
        <f t="shared" si="2"/>
        <v>6021.63846</v>
      </c>
      <c r="AK16" s="125"/>
      <c r="AL16" s="65">
        <f t="shared" si="3"/>
      </c>
      <c r="AM16" s="125">
        <v>18</v>
      </c>
      <c r="AN16" s="65">
        <f t="shared" si="4"/>
        <v>453.51252</v>
      </c>
      <c r="AO16" s="126">
        <v>12</v>
      </c>
      <c r="AQ16" s="127">
        <v>208</v>
      </c>
      <c r="AR16" s="65">
        <f t="shared" si="5"/>
        <v>5240.58912</v>
      </c>
      <c r="AS16" s="125"/>
      <c r="AT16" s="65">
        <f t="shared" si="6"/>
      </c>
      <c r="AU16" s="125">
        <v>22</v>
      </c>
      <c r="AV16" s="65">
        <f t="shared" si="7"/>
        <v>554.29308</v>
      </c>
      <c r="AX16" s="127"/>
      <c r="AY16" s="128"/>
      <c r="AZ16" s="129"/>
      <c r="BA16" s="125"/>
      <c r="BB16" s="129"/>
      <c r="BC16" s="125"/>
      <c r="BD16" s="125"/>
      <c r="BE16" s="130"/>
      <c r="BG16" s="127"/>
      <c r="BH16" s="110"/>
      <c r="BI16" s="131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(IF(((SUM(AM30:AM32))=0)," ",(AVERAGE(AM30:AM32))))</f>
        <v>20</v>
      </c>
      <c r="CH16" s="105">
        <f>(IF(((SUM(AN30:AN32))=0)," ",(AVERAGE(AN30:AN32))))</f>
        <v>447.44933999999995</v>
      </c>
      <c r="CI16" s="105"/>
      <c r="CJ16" s="105">
        <f>(IF(((SUM(AU30:AU32))=0)," ",(AVERAGE(AU30:AU32))))</f>
        <v>27</v>
      </c>
      <c r="CK16" s="105">
        <f>(IF(((SUM(AV30:AV32))=0)," ",(AVERAGE(AV30:AV32))))</f>
        <v>606.83786</v>
      </c>
      <c r="CL16" s="239"/>
      <c r="CM16" s="151">
        <f>(AVERAGE(AE27:AE33))</f>
        <v>0.002857142857142857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4">
        <v>2734966</v>
      </c>
      <c r="D17" s="137">
        <f t="shared" si="0"/>
        <v>3.323</v>
      </c>
      <c r="E17" s="139">
        <v>4.2</v>
      </c>
      <c r="F17" s="140">
        <v>0.9</v>
      </c>
      <c r="G17" s="81" t="str">
        <f t="shared" si="8"/>
        <v>0.00</v>
      </c>
      <c r="H17" s="84">
        <v>4400</v>
      </c>
      <c r="I17" s="85">
        <v>10000</v>
      </c>
      <c r="K17" s="86" t="s">
        <v>209</v>
      </c>
      <c r="L17" s="84">
        <v>52</v>
      </c>
      <c r="M17" s="87">
        <v>0</v>
      </c>
      <c r="O17" s="106"/>
      <c r="Q17" s="347"/>
      <c r="R17" s="347"/>
      <c r="S17" s="347"/>
      <c r="U17" s="92">
        <v>7.06</v>
      </c>
      <c r="V17" s="93">
        <v>6.98</v>
      </c>
      <c r="W17" s="94">
        <v>6.39</v>
      </c>
      <c r="Y17" s="89">
        <v>11.9</v>
      </c>
      <c r="Z17" s="95">
        <v>11.8</v>
      </c>
      <c r="AA17" s="91">
        <v>13</v>
      </c>
      <c r="AC17" s="92">
        <v>5.5</v>
      </c>
      <c r="AD17" s="90">
        <v>0.01</v>
      </c>
      <c r="AE17" s="96">
        <v>0</v>
      </c>
      <c r="AG17" s="45">
        <f t="shared" si="1"/>
        <v>6</v>
      </c>
      <c r="AH17" s="281"/>
      <c r="AI17" s="97">
        <v>192</v>
      </c>
      <c r="AJ17" s="55">
        <f t="shared" si="2"/>
        <v>5321.05344</v>
      </c>
      <c r="AK17" s="97"/>
      <c r="AL17" s="55">
        <f t="shared" si="3"/>
      </c>
      <c r="AM17" s="97">
        <v>19</v>
      </c>
      <c r="AN17" s="55">
        <f t="shared" si="4"/>
        <v>526.56258</v>
      </c>
      <c r="AO17" s="109">
        <v>12</v>
      </c>
      <c r="AQ17" s="99">
        <v>200</v>
      </c>
      <c r="AR17" s="55">
        <f t="shared" si="5"/>
        <v>5542.764</v>
      </c>
      <c r="AS17" s="97"/>
      <c r="AT17" s="55">
        <f t="shared" si="6"/>
      </c>
      <c r="AU17" s="97">
        <v>27</v>
      </c>
      <c r="AV17" s="55">
        <f t="shared" si="7"/>
        <v>748.27314</v>
      </c>
      <c r="AX17" s="99">
        <v>31456</v>
      </c>
      <c r="AY17" s="100">
        <v>3</v>
      </c>
      <c r="AZ17" s="101">
        <v>4.25</v>
      </c>
      <c r="BA17" s="97">
        <v>24.8</v>
      </c>
      <c r="BB17" s="101">
        <v>27</v>
      </c>
      <c r="BC17" s="97">
        <v>12</v>
      </c>
      <c r="BD17" s="97"/>
      <c r="BE17" s="102"/>
      <c r="BG17" s="99">
        <v>12</v>
      </c>
      <c r="BH17" s="83" t="s">
        <v>210</v>
      </c>
      <c r="BI17" s="103" t="s">
        <v>211</v>
      </c>
      <c r="BK17" s="17"/>
      <c r="BL17" s="19"/>
      <c r="BM17" s="56" t="s">
        <v>111</v>
      </c>
      <c r="BN17" s="20"/>
      <c r="BO17" s="57" t="s">
        <v>130</v>
      </c>
      <c r="BP17" s="26"/>
      <c r="BQ17" s="238" t="s">
        <v>150</v>
      </c>
      <c r="BR17" s="238" t="s">
        <v>150</v>
      </c>
      <c r="BS17" s="238" t="s">
        <v>150</v>
      </c>
      <c r="BT17" s="104"/>
      <c r="BU17" s="145">
        <f>MIN(W12:W42)</f>
        <v>6.22</v>
      </c>
      <c r="BV17" s="238" t="s">
        <v>150</v>
      </c>
      <c r="BW17" s="145">
        <f>MAX(W12:W42)</f>
        <v>6.55</v>
      </c>
      <c r="BX17" s="104" t="s">
        <v>43</v>
      </c>
      <c r="BY17" s="104"/>
      <c r="BZ17" s="104">
        <v>0</v>
      </c>
      <c r="CA17" s="144" t="s">
        <v>48</v>
      </c>
      <c r="CB17" s="104" t="s">
        <v>23</v>
      </c>
      <c r="CC17" s="136"/>
      <c r="CE17" s="69"/>
      <c r="CF17" s="20"/>
      <c r="CG17" s="105"/>
      <c r="CH17" s="105"/>
      <c r="CI17" s="105"/>
      <c r="CJ17" s="105"/>
      <c r="CK17" s="105"/>
      <c r="CL17" s="240"/>
      <c r="CM17" s="151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4">
        <v>2737829</v>
      </c>
      <c r="D18" s="137">
        <f t="shared" si="0"/>
        <v>2.863</v>
      </c>
      <c r="E18" s="139">
        <v>4.2</v>
      </c>
      <c r="F18" s="140">
        <v>0.8</v>
      </c>
      <c r="G18" s="81" t="str">
        <f t="shared" si="8"/>
        <v>0.00</v>
      </c>
      <c r="H18" s="84">
        <v>2300</v>
      </c>
      <c r="I18" s="85">
        <v>10000</v>
      </c>
      <c r="K18" s="86" t="s">
        <v>209</v>
      </c>
      <c r="L18" s="84">
        <v>60</v>
      </c>
      <c r="M18" s="87">
        <v>0</v>
      </c>
      <c r="O18" s="106"/>
      <c r="Q18" s="347"/>
      <c r="R18" s="347"/>
      <c r="S18" s="347"/>
      <c r="U18" s="92">
        <v>7.06</v>
      </c>
      <c r="V18" s="93">
        <v>6.76</v>
      </c>
      <c r="W18" s="94">
        <v>6.45</v>
      </c>
      <c r="Y18" s="89">
        <v>12</v>
      </c>
      <c r="Z18" s="95">
        <v>12.4</v>
      </c>
      <c r="AA18" s="91">
        <v>13.5</v>
      </c>
      <c r="AC18" s="92">
        <v>5.5</v>
      </c>
      <c r="AD18" s="90">
        <v>0.3</v>
      </c>
      <c r="AE18" s="96">
        <v>0.01</v>
      </c>
      <c r="AG18" s="45">
        <f t="shared" si="1"/>
        <v>7</v>
      </c>
      <c r="AH18" s="281"/>
      <c r="AI18" s="97">
        <v>247</v>
      </c>
      <c r="AJ18" s="55">
        <f t="shared" si="2"/>
        <v>5897.722739999999</v>
      </c>
      <c r="AK18" s="97">
        <v>155</v>
      </c>
      <c r="AL18" s="55">
        <f t="shared" si="3"/>
        <v>3701.0000999999997</v>
      </c>
      <c r="AM18" s="97">
        <v>19</v>
      </c>
      <c r="AN18" s="55">
        <f t="shared" si="4"/>
        <v>453.67098</v>
      </c>
      <c r="AO18" s="109">
        <v>12</v>
      </c>
      <c r="AQ18" s="99">
        <v>196</v>
      </c>
      <c r="AR18" s="55">
        <f t="shared" si="5"/>
        <v>4679.97432</v>
      </c>
      <c r="AS18" s="97">
        <v>86</v>
      </c>
      <c r="AT18" s="55">
        <f t="shared" si="6"/>
        <v>2053.45812</v>
      </c>
      <c r="AU18" s="97">
        <v>27</v>
      </c>
      <c r="AV18" s="55">
        <f t="shared" si="7"/>
        <v>644.69034</v>
      </c>
      <c r="AX18" s="99">
        <v>22192</v>
      </c>
      <c r="AY18" s="100">
        <v>4</v>
      </c>
      <c r="AZ18" s="101">
        <v>3.25</v>
      </c>
      <c r="BA18" s="97">
        <v>15.5</v>
      </c>
      <c r="BB18" s="101">
        <v>26</v>
      </c>
      <c r="BC18" s="97">
        <v>12</v>
      </c>
      <c r="BD18" s="97"/>
      <c r="BE18" s="102"/>
      <c r="BG18" s="99">
        <v>12</v>
      </c>
      <c r="BH18" s="83" t="s">
        <v>210</v>
      </c>
      <c r="BI18" s="103" t="s">
        <v>211</v>
      </c>
      <c r="BK18" s="17"/>
      <c r="BL18" s="19"/>
      <c r="BM18" s="26" t="s">
        <v>86</v>
      </c>
      <c r="BN18" s="20"/>
      <c r="BO18" s="153" t="s">
        <v>131</v>
      </c>
      <c r="BP18" s="26"/>
      <c r="BQ18" s="237" t="s">
        <v>150</v>
      </c>
      <c r="BR18" s="237" t="s">
        <v>150</v>
      </c>
      <c r="BS18" s="237" t="s">
        <v>150</v>
      </c>
      <c r="BT18" s="104"/>
      <c r="BU18" s="158">
        <v>6</v>
      </c>
      <c r="BV18" s="237" t="s">
        <v>150</v>
      </c>
      <c r="BW18" s="155">
        <v>8.5</v>
      </c>
      <c r="BX18" s="155" t="s">
        <v>43</v>
      </c>
      <c r="BY18" s="104"/>
      <c r="BZ18" s="237" t="s">
        <v>150</v>
      </c>
      <c r="CA18" s="157" t="s">
        <v>48</v>
      </c>
      <c r="CB18" s="155" t="s">
        <v>23</v>
      </c>
      <c r="CC18" s="136"/>
      <c r="CE18" s="69"/>
      <c r="CF18" s="20" t="s">
        <v>141</v>
      </c>
      <c r="CG18" s="105">
        <f>(IF(((SUM(AM37:AM39))=0)," ",(AVERAGE(AM37:AM39))))</f>
        <v>18</v>
      </c>
      <c r="CH18" s="105">
        <f>(IF(((SUM(AN37:AN39))=0)," ",(AVERAGE(AN37:AN39))))</f>
        <v>448.36951999999997</v>
      </c>
      <c r="CI18" s="105"/>
      <c r="CJ18" s="105">
        <f>(IF(((SUM(AU37:AU39))=0)," ",(AVERAGE(AU37:AU39))))</f>
        <v>28.666666666666668</v>
      </c>
      <c r="CK18" s="105">
        <f>(IF(((SUM(AV37:AV39))=0)," ",(AVERAGE(AV37:AV39))))</f>
        <v>714.06524</v>
      </c>
      <c r="CL18" s="240"/>
      <c r="CM18" s="151">
        <f>(AVERAGE(AE34:AE40))</f>
        <v>0.018571428571428572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4">
        <v>2740577</v>
      </c>
      <c r="D19" s="137">
        <f t="shared" si="0"/>
        <v>2.748</v>
      </c>
      <c r="E19" s="139">
        <v>4.2</v>
      </c>
      <c r="F19" s="140">
        <v>0.8</v>
      </c>
      <c r="G19" s="81" t="str">
        <f t="shared" si="8"/>
        <v>0.00</v>
      </c>
      <c r="H19" s="84">
        <v>500</v>
      </c>
      <c r="I19" s="85">
        <v>4500</v>
      </c>
      <c r="K19" s="86" t="s">
        <v>209</v>
      </c>
      <c r="L19" s="84">
        <v>47</v>
      </c>
      <c r="M19" s="87">
        <v>0</v>
      </c>
      <c r="O19" s="106"/>
      <c r="Q19" s="347"/>
      <c r="R19" s="347"/>
      <c r="S19" s="347"/>
      <c r="U19" s="92">
        <v>6.88</v>
      </c>
      <c r="V19" s="93">
        <v>6.99</v>
      </c>
      <c r="W19" s="94">
        <v>6.43</v>
      </c>
      <c r="Y19" s="89">
        <v>11.8</v>
      </c>
      <c r="Z19" s="95">
        <v>11.6</v>
      </c>
      <c r="AA19" s="91">
        <v>12.2</v>
      </c>
      <c r="AC19" s="92">
        <v>3.5</v>
      </c>
      <c r="AD19" s="90">
        <v>0.01</v>
      </c>
      <c r="AE19" s="96">
        <v>0</v>
      </c>
      <c r="AG19" s="45">
        <f t="shared" si="1"/>
        <v>8</v>
      </c>
      <c r="AH19" s="281"/>
      <c r="AI19" s="97"/>
      <c r="AJ19" s="55">
        <f t="shared" si="2"/>
      </c>
      <c r="AK19" s="97"/>
      <c r="AL19" s="55">
        <f t="shared" si="3"/>
      </c>
      <c r="AM19" s="97"/>
      <c r="AN19" s="55">
        <f t="shared" si="4"/>
      </c>
      <c r="AO19" s="109"/>
      <c r="AQ19" s="99"/>
      <c r="AR19" s="55">
        <f t="shared" si="5"/>
      </c>
      <c r="AS19" s="97"/>
      <c r="AT19" s="55">
        <f t="shared" si="6"/>
      </c>
      <c r="AU19" s="97"/>
      <c r="AV19" s="55">
        <f t="shared" si="7"/>
      </c>
      <c r="AX19" s="99"/>
      <c r="AY19" s="100"/>
      <c r="AZ19" s="101"/>
      <c r="BA19" s="97"/>
      <c r="BB19" s="101"/>
      <c r="BC19" s="97"/>
      <c r="BD19" s="97"/>
      <c r="BE19" s="102"/>
      <c r="BG19" s="99"/>
      <c r="BH19" s="83"/>
      <c r="BI19" s="103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5"/>
      <c r="CH19" s="105"/>
      <c r="CI19" s="105"/>
      <c r="CJ19" s="105"/>
      <c r="CK19" s="105"/>
      <c r="CL19" s="240"/>
      <c r="CM19" s="151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4">
        <v>2743257</v>
      </c>
      <c r="D20" s="137">
        <f t="shared" si="0"/>
        <v>2.68</v>
      </c>
      <c r="E20" s="139">
        <v>4</v>
      </c>
      <c r="F20" s="140">
        <v>0.8</v>
      </c>
      <c r="G20" s="81" t="str">
        <f t="shared" si="8"/>
        <v>0.00</v>
      </c>
      <c r="H20" s="84">
        <v>0</v>
      </c>
      <c r="I20" s="85">
        <v>0</v>
      </c>
      <c r="K20" s="86" t="s">
        <v>208</v>
      </c>
      <c r="L20" s="84">
        <v>52</v>
      </c>
      <c r="M20" s="87">
        <v>0</v>
      </c>
      <c r="O20" s="106"/>
      <c r="Q20" s="347"/>
      <c r="R20" s="347"/>
      <c r="S20" s="347"/>
      <c r="U20" s="92">
        <v>6.99</v>
      </c>
      <c r="V20" s="93">
        <v>6.99</v>
      </c>
      <c r="W20" s="94">
        <v>6.47</v>
      </c>
      <c r="Y20" s="89">
        <v>11.8</v>
      </c>
      <c r="Z20" s="95">
        <v>11.8</v>
      </c>
      <c r="AA20" s="91">
        <v>12.7</v>
      </c>
      <c r="AC20" s="92">
        <v>4</v>
      </c>
      <c r="AD20" s="90">
        <v>0.01</v>
      </c>
      <c r="AE20" s="96">
        <v>0</v>
      </c>
      <c r="AG20" s="45">
        <f t="shared" si="1"/>
        <v>9</v>
      </c>
      <c r="AH20" s="281"/>
      <c r="AI20" s="97"/>
      <c r="AJ20" s="55">
        <f t="shared" si="2"/>
      </c>
      <c r="AK20" s="97"/>
      <c r="AL20" s="55">
        <f t="shared" si="3"/>
      </c>
      <c r="AM20" s="97"/>
      <c r="AN20" s="55">
        <f t="shared" si="4"/>
      </c>
      <c r="AO20" s="109"/>
      <c r="AQ20" s="99"/>
      <c r="AR20" s="55">
        <f t="shared" si="5"/>
      </c>
      <c r="AS20" s="97"/>
      <c r="AT20" s="55">
        <f t="shared" si="6"/>
      </c>
      <c r="AU20" s="97"/>
      <c r="AV20" s="55">
        <f t="shared" si="7"/>
      </c>
      <c r="AX20" s="99"/>
      <c r="AY20" s="100"/>
      <c r="AZ20" s="101"/>
      <c r="BA20" s="97"/>
      <c r="BB20" s="101"/>
      <c r="BC20" s="97"/>
      <c r="BD20" s="97"/>
      <c r="BE20" s="102"/>
      <c r="BG20" s="99"/>
      <c r="BH20" s="83"/>
      <c r="BI20" s="103"/>
      <c r="CE20" s="69"/>
      <c r="CF20" s="20" t="s">
        <v>142</v>
      </c>
      <c r="CG20" s="105">
        <f>(IF(((SUM(AM39:AM41))=0)," ",(AVERAGE(AM39:AM41))))</f>
        <v>17</v>
      </c>
      <c r="CH20" s="105">
        <f>(IF(((SUM(AN39:AN41))=0)," ",(AVERAGE(AN39:AN41))))</f>
        <v>410.87844</v>
      </c>
      <c r="CI20" s="105"/>
      <c r="CJ20" s="105"/>
      <c r="CK20" s="105"/>
      <c r="CL20" s="240"/>
      <c r="CM20" s="151"/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2">
        <v>2745855</v>
      </c>
      <c r="D21" s="138">
        <f t="shared" si="0"/>
        <v>2.598</v>
      </c>
      <c r="E21" s="141">
        <v>5</v>
      </c>
      <c r="F21" s="142">
        <v>0.6</v>
      </c>
      <c r="G21" s="183" t="str">
        <f t="shared" si="8"/>
        <v>0.00</v>
      </c>
      <c r="H21" s="112">
        <v>3700</v>
      </c>
      <c r="I21" s="113">
        <v>10000</v>
      </c>
      <c r="K21" s="114" t="s">
        <v>209</v>
      </c>
      <c r="L21" s="112">
        <v>49</v>
      </c>
      <c r="M21" s="115">
        <v>0.13</v>
      </c>
      <c r="O21" s="116"/>
      <c r="Q21" s="347"/>
      <c r="R21" s="347"/>
      <c r="S21" s="347"/>
      <c r="U21" s="117">
        <v>7.12</v>
      </c>
      <c r="V21" s="118">
        <v>6.98</v>
      </c>
      <c r="W21" s="119">
        <v>6.43</v>
      </c>
      <c r="Y21" s="120">
        <v>12.1</v>
      </c>
      <c r="Z21" s="121">
        <v>13</v>
      </c>
      <c r="AA21" s="122">
        <v>13.9</v>
      </c>
      <c r="AC21" s="117">
        <v>7.5</v>
      </c>
      <c r="AD21" s="123">
        <v>0</v>
      </c>
      <c r="AE21" s="124">
        <v>0</v>
      </c>
      <c r="AG21" s="45">
        <f t="shared" si="1"/>
        <v>10</v>
      </c>
      <c r="AH21" s="281"/>
      <c r="AI21" s="125"/>
      <c r="AJ21" s="65">
        <f t="shared" si="2"/>
      </c>
      <c r="AK21" s="125"/>
      <c r="AL21" s="65">
        <f t="shared" si="3"/>
      </c>
      <c r="AM21" s="125"/>
      <c r="AN21" s="65">
        <f t="shared" si="4"/>
      </c>
      <c r="AO21" s="126"/>
      <c r="AQ21" s="127"/>
      <c r="AR21" s="65">
        <f t="shared" si="5"/>
      </c>
      <c r="AS21" s="125"/>
      <c r="AT21" s="65">
        <f t="shared" si="6"/>
      </c>
      <c r="AU21" s="125"/>
      <c r="AV21" s="65">
        <f t="shared" si="7"/>
      </c>
      <c r="AX21" s="127">
        <v>35551</v>
      </c>
      <c r="AY21" s="128">
        <v>3</v>
      </c>
      <c r="AZ21" s="129">
        <v>4.5</v>
      </c>
      <c r="BA21" s="125">
        <v>21.7</v>
      </c>
      <c r="BB21" s="129">
        <v>27</v>
      </c>
      <c r="BC21" s="125">
        <v>12</v>
      </c>
      <c r="BD21" s="125"/>
      <c r="BE21" s="130"/>
      <c r="BG21" s="127">
        <v>12</v>
      </c>
      <c r="BH21" s="110" t="s">
        <v>210</v>
      </c>
      <c r="BI21" s="131" t="s">
        <v>211</v>
      </c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4">
        <v>2748690</v>
      </c>
      <c r="D22" s="137">
        <f t="shared" si="0"/>
        <v>2.835</v>
      </c>
      <c r="E22" s="139">
        <v>4</v>
      </c>
      <c r="F22" s="140">
        <v>0.7</v>
      </c>
      <c r="G22" s="81" t="str">
        <f t="shared" si="8"/>
        <v>0.00</v>
      </c>
      <c r="H22" s="84">
        <v>2500</v>
      </c>
      <c r="I22" s="85">
        <v>4750</v>
      </c>
      <c r="K22" s="86" t="s">
        <v>209</v>
      </c>
      <c r="L22" s="84">
        <v>61</v>
      </c>
      <c r="M22" s="87">
        <v>0</v>
      </c>
      <c r="O22" s="106"/>
      <c r="Q22" s="347"/>
      <c r="R22" s="347"/>
      <c r="S22" s="347"/>
      <c r="U22" s="92">
        <v>7.11</v>
      </c>
      <c r="V22" s="93">
        <v>7.03</v>
      </c>
      <c r="W22" s="94">
        <v>6.38</v>
      </c>
      <c r="Y22" s="89">
        <v>12.4</v>
      </c>
      <c r="Z22" s="95">
        <v>12.1</v>
      </c>
      <c r="AA22" s="91">
        <v>13.5</v>
      </c>
      <c r="AC22" s="92">
        <v>6</v>
      </c>
      <c r="AD22" s="90">
        <v>0.1</v>
      </c>
      <c r="AE22" s="96">
        <v>0</v>
      </c>
      <c r="AG22" s="45">
        <f t="shared" si="1"/>
        <v>11</v>
      </c>
      <c r="AH22" s="281"/>
      <c r="AI22" s="97"/>
      <c r="AJ22" s="55">
        <f t="shared" si="2"/>
      </c>
      <c r="AK22" s="97"/>
      <c r="AL22" s="55">
        <f t="shared" si="3"/>
      </c>
      <c r="AM22" s="97"/>
      <c r="AN22" s="55">
        <f t="shared" si="4"/>
      </c>
      <c r="AO22" s="109"/>
      <c r="AQ22" s="99"/>
      <c r="AR22" s="55">
        <f t="shared" si="5"/>
      </c>
      <c r="AS22" s="97"/>
      <c r="AT22" s="55">
        <f t="shared" si="6"/>
      </c>
      <c r="AU22" s="97"/>
      <c r="AV22" s="55">
        <f t="shared" si="7"/>
      </c>
      <c r="AX22" s="99">
        <v>22030</v>
      </c>
      <c r="AY22" s="100">
        <v>4</v>
      </c>
      <c r="AZ22" s="101">
        <v>3</v>
      </c>
      <c r="BA22" s="97">
        <v>15.5</v>
      </c>
      <c r="BB22" s="101">
        <v>26</v>
      </c>
      <c r="BC22" s="97">
        <v>12</v>
      </c>
      <c r="BD22" s="97"/>
      <c r="BE22" s="102"/>
      <c r="BG22" s="99">
        <v>12</v>
      </c>
      <c r="BH22" s="83" t="s">
        <v>210</v>
      </c>
      <c r="BI22" s="103" t="s">
        <v>211</v>
      </c>
      <c r="BK22" s="17"/>
      <c r="BL22" s="19"/>
      <c r="BM22" s="56" t="s">
        <v>21</v>
      </c>
      <c r="BN22" s="20"/>
      <c r="BO22" s="57" t="s">
        <v>130</v>
      </c>
      <c r="BP22" s="26"/>
      <c r="BQ22" s="149">
        <f>(IF(((SUM(AV12:AV42))=0)," ",(AVERAGE(AV12:AV42))))</f>
        <v>638.83288</v>
      </c>
      <c r="BR22" s="149">
        <f>MAX(AV12:AV42)</f>
        <v>762.1092</v>
      </c>
      <c r="BS22" s="104" t="s">
        <v>126</v>
      </c>
      <c r="BT22" s="104"/>
      <c r="BU22" s="149">
        <f>(IF(((SUM(AU12:AU42))=0)," ",(AVERAGE(AU12:AU42))))</f>
        <v>26.833333333333332</v>
      </c>
      <c r="BV22" s="143">
        <f>(CJ23)</f>
        <v>28.666666666666668</v>
      </c>
      <c r="BW22" s="149">
        <f>MAX(AU12:AU42)</f>
        <v>32</v>
      </c>
      <c r="BX22" s="104" t="s">
        <v>128</v>
      </c>
      <c r="BY22" s="104"/>
      <c r="BZ22" s="104">
        <v>0</v>
      </c>
      <c r="CA22" s="144" t="s">
        <v>47</v>
      </c>
      <c r="CB22" s="104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4">
        <v>2751360</v>
      </c>
      <c r="D23" s="137">
        <f t="shared" si="0"/>
        <v>2.67</v>
      </c>
      <c r="E23" s="139">
        <v>4.1</v>
      </c>
      <c r="F23" s="140">
        <v>0.6</v>
      </c>
      <c r="G23" s="81" t="str">
        <f t="shared" si="8"/>
        <v>0.00</v>
      </c>
      <c r="H23" s="84">
        <v>3000</v>
      </c>
      <c r="I23" s="85">
        <v>6000</v>
      </c>
      <c r="K23" s="86" t="s">
        <v>209</v>
      </c>
      <c r="L23" s="84">
        <v>63</v>
      </c>
      <c r="M23" s="87">
        <v>0</v>
      </c>
      <c r="O23" s="106"/>
      <c r="Q23" s="347"/>
      <c r="R23" s="347"/>
      <c r="S23" s="347"/>
      <c r="U23" s="92">
        <v>7.06</v>
      </c>
      <c r="V23" s="93">
        <v>6.98</v>
      </c>
      <c r="W23" s="94">
        <v>6.36</v>
      </c>
      <c r="Y23" s="89">
        <v>13</v>
      </c>
      <c r="Z23" s="95">
        <v>13.5</v>
      </c>
      <c r="AA23" s="91">
        <v>14.6</v>
      </c>
      <c r="AC23" s="92">
        <v>6</v>
      </c>
      <c r="AD23" s="90">
        <v>0.01</v>
      </c>
      <c r="AE23" s="96">
        <v>0</v>
      </c>
      <c r="AG23" s="45">
        <f t="shared" si="1"/>
        <v>12</v>
      </c>
      <c r="AH23" s="281"/>
      <c r="AI23" s="97"/>
      <c r="AJ23" s="55">
        <f t="shared" si="2"/>
      </c>
      <c r="AK23" s="97"/>
      <c r="AL23" s="55">
        <f t="shared" si="3"/>
      </c>
      <c r="AM23" s="97">
        <v>21</v>
      </c>
      <c r="AN23" s="55">
        <f t="shared" si="4"/>
        <v>467.6238</v>
      </c>
      <c r="AO23" s="109">
        <v>13</v>
      </c>
      <c r="AQ23" s="99"/>
      <c r="AR23" s="55">
        <f t="shared" si="5"/>
      </c>
      <c r="AS23" s="97"/>
      <c r="AT23" s="55">
        <f t="shared" si="6"/>
      </c>
      <c r="AU23" s="97">
        <v>27</v>
      </c>
      <c r="AV23" s="55">
        <f t="shared" si="7"/>
        <v>601.2306</v>
      </c>
      <c r="AX23" s="99"/>
      <c r="AY23" s="100"/>
      <c r="AZ23" s="101"/>
      <c r="BA23" s="97"/>
      <c r="BB23" s="101"/>
      <c r="BC23" s="97"/>
      <c r="BD23" s="97"/>
      <c r="BE23" s="102"/>
      <c r="BG23" s="99"/>
      <c r="BH23" s="83"/>
      <c r="BI23" s="103"/>
      <c r="BK23" s="17"/>
      <c r="BL23" s="19"/>
      <c r="BM23" s="26" t="s">
        <v>86</v>
      </c>
      <c r="BN23" s="20"/>
      <c r="BO23" s="153" t="s">
        <v>131</v>
      </c>
      <c r="BP23" s="26"/>
      <c r="BQ23" s="236">
        <v>963</v>
      </c>
      <c r="BR23" s="236">
        <v>1605</v>
      </c>
      <c r="BS23" s="155" t="s">
        <v>126</v>
      </c>
      <c r="BT23" s="104"/>
      <c r="BU23" s="236">
        <v>30</v>
      </c>
      <c r="BV23" s="156">
        <v>45</v>
      </c>
      <c r="BW23" s="236">
        <v>50</v>
      </c>
      <c r="BX23" s="155" t="s">
        <v>128</v>
      </c>
      <c r="BY23" s="104"/>
      <c r="BZ23" s="237" t="s">
        <v>150</v>
      </c>
      <c r="CA23" s="157" t="s">
        <v>47</v>
      </c>
      <c r="CB23" s="155">
        <v>24</v>
      </c>
      <c r="CC23" s="136"/>
      <c r="CE23" s="69"/>
      <c r="CF23" s="72" t="s">
        <v>53</v>
      </c>
      <c r="CG23" s="149">
        <f>(IF(((SUM(CG12:CG20))=0)," ",(MAX(CG12:CG20))))</f>
        <v>20</v>
      </c>
      <c r="CH23" s="149">
        <f>(IF(((SUM(CH12:CH20))=0)," ",(MAX(CH12:CH20))))</f>
        <v>477.91535999999996</v>
      </c>
      <c r="CI23" s="185"/>
      <c r="CJ23" s="149">
        <f>(IF(((SUM(CJ12:CJ20))=0)," ",(MAX(CJ12:CJ20))))</f>
        <v>28.666666666666668</v>
      </c>
      <c r="CK23" s="149">
        <f>(IF(((SUM(CK12:CK20))=0)," ",(MAX(CK12:CK20))))</f>
        <v>714.06524</v>
      </c>
      <c r="CL23" s="71"/>
      <c r="CM23" s="277">
        <f>(MAX(CM12:CM20))</f>
        <v>0.018571428571428572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4">
        <v>2754025</v>
      </c>
      <c r="D24" s="137">
        <f t="shared" si="0"/>
        <v>2.665</v>
      </c>
      <c r="E24" s="139">
        <v>4.4</v>
      </c>
      <c r="F24" s="140">
        <v>0.6</v>
      </c>
      <c r="G24" s="81" t="str">
        <f t="shared" si="8"/>
        <v>0.00</v>
      </c>
      <c r="H24" s="84">
        <v>2650</v>
      </c>
      <c r="I24" s="85">
        <v>10000</v>
      </c>
      <c r="K24" s="86" t="s">
        <v>209</v>
      </c>
      <c r="L24" s="84">
        <v>54</v>
      </c>
      <c r="M24" s="87">
        <v>0</v>
      </c>
      <c r="O24" s="106"/>
      <c r="Q24" s="347"/>
      <c r="R24" s="347"/>
      <c r="S24" s="347"/>
      <c r="U24" s="92">
        <v>7.08</v>
      </c>
      <c r="V24" s="93">
        <v>6.98</v>
      </c>
      <c r="W24" s="94">
        <v>6.39</v>
      </c>
      <c r="Y24" s="89">
        <v>13.3</v>
      </c>
      <c r="Z24" s="95">
        <v>13.8</v>
      </c>
      <c r="AA24" s="91">
        <v>14.7</v>
      </c>
      <c r="AC24" s="92">
        <v>9</v>
      </c>
      <c r="AD24" s="90">
        <v>0.1</v>
      </c>
      <c r="AE24" s="96">
        <v>0</v>
      </c>
      <c r="AG24" s="45">
        <f t="shared" si="1"/>
        <v>13</v>
      </c>
      <c r="AH24" s="281"/>
      <c r="AI24" s="97">
        <v>241</v>
      </c>
      <c r="AJ24" s="55">
        <f t="shared" si="2"/>
        <v>5356.4901</v>
      </c>
      <c r="AK24" s="97"/>
      <c r="AL24" s="55">
        <f t="shared" si="3"/>
      </c>
      <c r="AM24" s="97">
        <v>19</v>
      </c>
      <c r="AN24" s="55">
        <f t="shared" si="4"/>
        <v>422.29589999999996</v>
      </c>
      <c r="AO24" s="109">
        <v>13</v>
      </c>
      <c r="AQ24" s="99">
        <v>214</v>
      </c>
      <c r="AR24" s="55">
        <f t="shared" si="5"/>
        <v>4756.3854</v>
      </c>
      <c r="AS24" s="97"/>
      <c r="AT24" s="55">
        <f t="shared" si="6"/>
      </c>
      <c r="AU24" s="97">
        <v>29</v>
      </c>
      <c r="AV24" s="55">
        <f t="shared" si="7"/>
        <v>644.5568999999999</v>
      </c>
      <c r="AX24" s="99">
        <v>26911</v>
      </c>
      <c r="AY24" s="100">
        <v>3</v>
      </c>
      <c r="AZ24" s="101">
        <v>3.25</v>
      </c>
      <c r="BA24" s="97">
        <v>18.6</v>
      </c>
      <c r="BB24" s="101">
        <v>28</v>
      </c>
      <c r="BC24" s="97">
        <v>12</v>
      </c>
      <c r="BD24" s="97"/>
      <c r="BE24" s="102"/>
      <c r="BG24" s="99">
        <v>12</v>
      </c>
      <c r="BH24" s="83" t="s">
        <v>210</v>
      </c>
      <c r="BI24" s="103" t="s">
        <v>211</v>
      </c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4">
        <v>2756685</v>
      </c>
      <c r="D25" s="137">
        <f t="shared" si="0"/>
        <v>2.66</v>
      </c>
      <c r="E25" s="139">
        <v>5</v>
      </c>
      <c r="F25" s="140">
        <v>0.6</v>
      </c>
      <c r="G25" s="81" t="str">
        <f t="shared" si="8"/>
        <v>0.00</v>
      </c>
      <c r="H25" s="84">
        <v>3550</v>
      </c>
      <c r="I25" s="85">
        <v>9500</v>
      </c>
      <c r="K25" s="86" t="s">
        <v>209</v>
      </c>
      <c r="L25" s="84">
        <v>49</v>
      </c>
      <c r="M25" s="87">
        <v>0</v>
      </c>
      <c r="O25" s="106"/>
      <c r="Q25" s="107">
        <v>20</v>
      </c>
      <c r="R25" s="152">
        <v>0.26</v>
      </c>
      <c r="S25" s="108"/>
      <c r="U25" s="92">
        <v>7.19</v>
      </c>
      <c r="V25" s="93">
        <v>6.99</v>
      </c>
      <c r="W25" s="94">
        <v>6.38</v>
      </c>
      <c r="Y25" s="89">
        <v>13.1</v>
      </c>
      <c r="Z25" s="95">
        <v>12.8</v>
      </c>
      <c r="AA25" s="91">
        <v>13.9</v>
      </c>
      <c r="AC25" s="92">
        <v>6</v>
      </c>
      <c r="AD25" s="90">
        <v>0.01</v>
      </c>
      <c r="AE25" s="96">
        <v>0.01</v>
      </c>
      <c r="AG25" s="45">
        <f t="shared" si="1"/>
        <v>14</v>
      </c>
      <c r="AH25" s="281"/>
      <c r="AI25" s="97">
        <v>249</v>
      </c>
      <c r="AJ25" s="55">
        <f t="shared" si="2"/>
        <v>5523.9156</v>
      </c>
      <c r="AK25" s="97">
        <v>160</v>
      </c>
      <c r="AL25" s="55">
        <f t="shared" si="3"/>
        <v>3549.504</v>
      </c>
      <c r="AM25" s="97">
        <v>17</v>
      </c>
      <c r="AN25" s="55">
        <f t="shared" si="4"/>
        <v>377.1348</v>
      </c>
      <c r="AO25" s="109">
        <v>11</v>
      </c>
      <c r="AQ25" s="99">
        <v>218</v>
      </c>
      <c r="AR25" s="55">
        <f t="shared" si="5"/>
        <v>4836.1992</v>
      </c>
      <c r="AS25" s="97">
        <v>87</v>
      </c>
      <c r="AT25" s="55">
        <f t="shared" si="6"/>
        <v>1930.0428000000002</v>
      </c>
      <c r="AU25" s="97">
        <v>23</v>
      </c>
      <c r="AV25" s="55">
        <f t="shared" si="7"/>
        <v>510.24120000000005</v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2">
        <v>2759479</v>
      </c>
      <c r="D26" s="138">
        <f t="shared" si="0"/>
        <v>2.794</v>
      </c>
      <c r="E26" s="141">
        <v>4.2</v>
      </c>
      <c r="F26" s="142">
        <v>0.6</v>
      </c>
      <c r="G26" s="183" t="str">
        <f t="shared" si="8"/>
        <v>0.00</v>
      </c>
      <c r="H26" s="112">
        <v>3500</v>
      </c>
      <c r="I26" s="113">
        <v>1000</v>
      </c>
      <c r="K26" s="114" t="s">
        <v>208</v>
      </c>
      <c r="L26" s="112">
        <v>63</v>
      </c>
      <c r="M26" s="115">
        <v>0.49</v>
      </c>
      <c r="O26" s="116"/>
      <c r="Q26" s="258">
        <v>21</v>
      </c>
      <c r="R26" s="259">
        <v>0.22</v>
      </c>
      <c r="S26" s="264"/>
      <c r="U26" s="117">
        <v>6.99</v>
      </c>
      <c r="V26" s="118">
        <v>6.86</v>
      </c>
      <c r="W26" s="119">
        <v>6.31</v>
      </c>
      <c r="Y26" s="120">
        <v>12.6</v>
      </c>
      <c r="Z26" s="121">
        <v>12.4</v>
      </c>
      <c r="AA26" s="122">
        <v>14</v>
      </c>
      <c r="AC26" s="117">
        <v>5</v>
      </c>
      <c r="AD26" s="123">
        <v>0.01</v>
      </c>
      <c r="AE26" s="124">
        <v>0</v>
      </c>
      <c r="AG26" s="45">
        <f t="shared" si="1"/>
        <v>15</v>
      </c>
      <c r="AH26" s="281"/>
      <c r="AI26" s="125"/>
      <c r="AJ26" s="65">
        <f t="shared" si="2"/>
      </c>
      <c r="AK26" s="125"/>
      <c r="AL26" s="65">
        <f t="shared" si="3"/>
      </c>
      <c r="AM26" s="125"/>
      <c r="AN26" s="65">
        <f t="shared" si="4"/>
      </c>
      <c r="AO26" s="126"/>
      <c r="AQ26" s="127"/>
      <c r="AR26" s="65">
        <f t="shared" si="5"/>
      </c>
      <c r="AS26" s="125"/>
      <c r="AT26" s="65">
        <f t="shared" si="6"/>
      </c>
      <c r="AU26" s="125"/>
      <c r="AV26" s="65">
        <f t="shared" si="7"/>
      </c>
      <c r="AX26" s="127"/>
      <c r="AY26" s="128"/>
      <c r="AZ26" s="129"/>
      <c r="BA26" s="125"/>
      <c r="BB26" s="129"/>
      <c r="BC26" s="125"/>
      <c r="BD26" s="125"/>
      <c r="BE26" s="130"/>
      <c r="BG26" s="127"/>
      <c r="BH26" s="110"/>
      <c r="BI26" s="131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4">
        <v>2762076</v>
      </c>
      <c r="D27" s="137">
        <f t="shared" si="0"/>
        <v>2.597</v>
      </c>
      <c r="E27" s="139">
        <v>4</v>
      </c>
      <c r="F27" s="140">
        <v>0.6</v>
      </c>
      <c r="G27" s="81" t="str">
        <f t="shared" si="8"/>
        <v>0.00</v>
      </c>
      <c r="H27" s="84">
        <v>0</v>
      </c>
      <c r="I27" s="85">
        <v>0</v>
      </c>
      <c r="K27" s="86" t="s">
        <v>213</v>
      </c>
      <c r="L27" s="84">
        <v>57</v>
      </c>
      <c r="M27" s="87">
        <v>0.3</v>
      </c>
      <c r="O27" s="106"/>
      <c r="Q27" s="107">
        <v>21</v>
      </c>
      <c r="R27" s="152">
        <v>0.23</v>
      </c>
      <c r="S27" s="108"/>
      <c r="U27" s="92">
        <v>6.92</v>
      </c>
      <c r="V27" s="93">
        <v>6.89</v>
      </c>
      <c r="W27" s="94">
        <v>6.37</v>
      </c>
      <c r="Y27" s="89">
        <v>13.9</v>
      </c>
      <c r="Z27" s="95">
        <v>13.2</v>
      </c>
      <c r="AA27" s="91">
        <v>15.1</v>
      </c>
      <c r="AC27" s="92">
        <v>4</v>
      </c>
      <c r="AD27" s="90">
        <v>0.01</v>
      </c>
      <c r="AE27" s="96">
        <v>0</v>
      </c>
      <c r="AG27" s="45">
        <f t="shared" si="1"/>
        <v>16</v>
      </c>
      <c r="AH27" s="281"/>
      <c r="AI27" s="97"/>
      <c r="AJ27" s="55">
        <f t="shared" si="2"/>
      </c>
      <c r="AK27" s="97"/>
      <c r="AL27" s="55">
        <f t="shared" si="3"/>
      </c>
      <c r="AM27" s="97"/>
      <c r="AN27" s="55">
        <f t="shared" si="4"/>
      </c>
      <c r="AO27" s="109"/>
      <c r="AQ27" s="99"/>
      <c r="AR27" s="55">
        <f t="shared" si="5"/>
      </c>
      <c r="AS27" s="97"/>
      <c r="AT27" s="55">
        <f t="shared" si="6"/>
      </c>
      <c r="AU27" s="97"/>
      <c r="AV27" s="55">
        <f t="shared" si="7"/>
      </c>
      <c r="AX27" s="99"/>
      <c r="AY27" s="100"/>
      <c r="AZ27" s="101"/>
      <c r="BA27" s="97"/>
      <c r="BB27" s="101"/>
      <c r="BC27" s="97"/>
      <c r="BD27" s="97"/>
      <c r="BE27" s="102"/>
      <c r="BG27" s="99"/>
      <c r="BH27" s="83"/>
      <c r="BI27" s="103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4">
        <v>2764747</v>
      </c>
      <c r="D28" s="137">
        <f t="shared" si="0"/>
        <v>2.671</v>
      </c>
      <c r="E28" s="139">
        <v>5.2</v>
      </c>
      <c r="F28" s="140">
        <v>0.7</v>
      </c>
      <c r="G28" s="81" t="str">
        <f t="shared" si="8"/>
        <v>0.00</v>
      </c>
      <c r="H28" s="84">
        <v>2500</v>
      </c>
      <c r="I28" s="85">
        <v>4500</v>
      </c>
      <c r="K28" s="86" t="s">
        <v>209</v>
      </c>
      <c r="L28" s="84">
        <v>55</v>
      </c>
      <c r="M28" s="87">
        <v>0</v>
      </c>
      <c r="O28" s="106"/>
      <c r="Q28" s="107">
        <v>20</v>
      </c>
      <c r="R28" s="152">
        <v>0.27</v>
      </c>
      <c r="S28" s="108">
        <v>3</v>
      </c>
      <c r="U28" s="92">
        <v>6.98</v>
      </c>
      <c r="V28" s="93">
        <v>6.93</v>
      </c>
      <c r="W28" s="94">
        <v>6.45</v>
      </c>
      <c r="Y28" s="89">
        <v>13.5</v>
      </c>
      <c r="Z28" s="95">
        <v>13.3</v>
      </c>
      <c r="AA28" s="91">
        <v>14.5</v>
      </c>
      <c r="AC28" s="92">
        <v>6</v>
      </c>
      <c r="AD28" s="90">
        <v>0.1</v>
      </c>
      <c r="AE28" s="96">
        <v>0</v>
      </c>
      <c r="AG28" s="45">
        <f t="shared" si="1"/>
        <v>17</v>
      </c>
      <c r="AH28" s="281"/>
      <c r="AI28" s="97"/>
      <c r="AJ28" s="55">
        <f t="shared" si="2"/>
      </c>
      <c r="AK28" s="97"/>
      <c r="AL28" s="55">
        <f t="shared" si="3"/>
      </c>
      <c r="AM28" s="97"/>
      <c r="AN28" s="55">
        <f t="shared" si="4"/>
      </c>
      <c r="AO28" s="109"/>
      <c r="AQ28" s="99"/>
      <c r="AR28" s="55">
        <f t="shared" si="5"/>
      </c>
      <c r="AS28" s="97"/>
      <c r="AT28" s="55">
        <f t="shared" si="6"/>
      </c>
      <c r="AU28" s="97"/>
      <c r="AV28" s="55">
        <f t="shared" si="7"/>
      </c>
      <c r="AX28" s="99">
        <v>53949</v>
      </c>
      <c r="AY28" s="100">
        <v>3</v>
      </c>
      <c r="AZ28" s="101">
        <v>3.75</v>
      </c>
      <c r="BA28" s="97">
        <v>34.1</v>
      </c>
      <c r="BB28" s="101">
        <v>28</v>
      </c>
      <c r="BC28" s="97">
        <v>24</v>
      </c>
      <c r="BD28" s="97"/>
      <c r="BE28" s="102"/>
      <c r="BG28" s="99">
        <v>24</v>
      </c>
      <c r="BH28" s="83" t="s">
        <v>210</v>
      </c>
      <c r="BI28" s="103" t="s">
        <v>211</v>
      </c>
      <c r="BK28" s="17"/>
      <c r="BL28" s="19"/>
      <c r="BM28" s="56" t="s">
        <v>9</v>
      </c>
      <c r="BN28" s="20"/>
      <c r="BO28" s="57" t="s">
        <v>130</v>
      </c>
      <c r="BP28" s="26"/>
      <c r="BQ28" s="238" t="s">
        <v>150</v>
      </c>
      <c r="BR28" s="238" t="s">
        <v>150</v>
      </c>
      <c r="BS28" s="238" t="s">
        <v>150</v>
      </c>
      <c r="BT28" s="238"/>
      <c r="BU28" s="238" t="s">
        <v>150</v>
      </c>
      <c r="BV28" s="146">
        <f>(CM23)</f>
        <v>0.018571428571428572</v>
      </c>
      <c r="BW28" s="146">
        <f>MAX(AE12:AE42)</f>
        <v>0.1</v>
      </c>
      <c r="BX28" s="104" t="s">
        <v>128</v>
      </c>
      <c r="BY28" s="104"/>
      <c r="BZ28" s="104">
        <v>0</v>
      </c>
      <c r="CA28" s="144" t="s">
        <v>48</v>
      </c>
      <c r="CB28" s="104" t="s">
        <v>23</v>
      </c>
      <c r="CC28" s="136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4">
        <v>2767803</v>
      </c>
      <c r="D29" s="137">
        <f t="shared" si="0"/>
        <v>3.056</v>
      </c>
      <c r="E29" s="139">
        <v>4.2</v>
      </c>
      <c r="F29" s="140">
        <v>0.6</v>
      </c>
      <c r="G29" s="81" t="str">
        <f t="shared" si="8"/>
        <v>0.00</v>
      </c>
      <c r="H29" s="84">
        <v>5500</v>
      </c>
      <c r="I29" s="85">
        <v>6250</v>
      </c>
      <c r="K29" s="86" t="s">
        <v>213</v>
      </c>
      <c r="L29" s="84">
        <v>55</v>
      </c>
      <c r="M29" s="87">
        <v>0.04</v>
      </c>
      <c r="O29" s="106"/>
      <c r="Q29" s="107">
        <v>21</v>
      </c>
      <c r="R29" s="152">
        <v>0.31</v>
      </c>
      <c r="S29" s="108">
        <v>2</v>
      </c>
      <c r="U29" s="92">
        <v>7.06</v>
      </c>
      <c r="V29" s="93">
        <v>6.95</v>
      </c>
      <c r="W29" s="94">
        <v>6.42</v>
      </c>
      <c r="Y29" s="89">
        <v>13.6</v>
      </c>
      <c r="Z29" s="95">
        <v>13.6</v>
      </c>
      <c r="AA29" s="91">
        <v>14.7</v>
      </c>
      <c r="AC29" s="92">
        <v>6</v>
      </c>
      <c r="AD29" s="90">
        <v>0.01</v>
      </c>
      <c r="AE29" s="96">
        <v>0</v>
      </c>
      <c r="AG29" s="45">
        <f t="shared" si="1"/>
        <v>18</v>
      </c>
      <c r="AH29" s="281"/>
      <c r="AI29" s="97"/>
      <c r="AJ29" s="55">
        <f t="shared" si="2"/>
      </c>
      <c r="AK29" s="97"/>
      <c r="AL29" s="55">
        <f t="shared" si="3"/>
      </c>
      <c r="AM29" s="97"/>
      <c r="AN29" s="55">
        <f t="shared" si="4"/>
      </c>
      <c r="AO29" s="109"/>
      <c r="AQ29" s="99"/>
      <c r="AR29" s="55">
        <f t="shared" si="5"/>
      </c>
      <c r="AS29" s="97"/>
      <c r="AT29" s="55">
        <f t="shared" si="6"/>
      </c>
      <c r="AU29" s="97"/>
      <c r="AV29" s="55">
        <f t="shared" si="7"/>
      </c>
      <c r="AX29" s="99"/>
      <c r="AY29" s="100"/>
      <c r="AZ29" s="101"/>
      <c r="BA29" s="97"/>
      <c r="BB29" s="101"/>
      <c r="BC29" s="97"/>
      <c r="BD29" s="97"/>
      <c r="BE29" s="102"/>
      <c r="BG29" s="99"/>
      <c r="BH29" s="83"/>
      <c r="BI29" s="103"/>
      <c r="BK29" s="17"/>
      <c r="BL29" s="19"/>
      <c r="BM29" s="26" t="s">
        <v>86</v>
      </c>
      <c r="BN29" s="20"/>
      <c r="BO29" s="153" t="s">
        <v>131</v>
      </c>
      <c r="BP29" s="26"/>
      <c r="BQ29" s="237" t="s">
        <v>150</v>
      </c>
      <c r="BR29" s="237" t="s">
        <v>150</v>
      </c>
      <c r="BS29" s="237" t="s">
        <v>150</v>
      </c>
      <c r="BT29" s="238"/>
      <c r="BU29" s="237" t="s">
        <v>150</v>
      </c>
      <c r="BV29" s="155" t="s">
        <v>146</v>
      </c>
      <c r="BW29" s="155">
        <v>0.3</v>
      </c>
      <c r="BX29" s="155" t="s">
        <v>128</v>
      </c>
      <c r="BY29" s="104"/>
      <c r="BZ29" s="237" t="s">
        <v>150</v>
      </c>
      <c r="CA29" s="157" t="s">
        <v>48</v>
      </c>
      <c r="CB29" s="155" t="s">
        <v>23</v>
      </c>
      <c r="CC29" s="136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4">
        <v>2770452</v>
      </c>
      <c r="D30" s="137">
        <f t="shared" si="0"/>
        <v>2.649</v>
      </c>
      <c r="E30" s="139">
        <v>4.8</v>
      </c>
      <c r="F30" s="140">
        <v>0.6</v>
      </c>
      <c r="G30" s="81" t="str">
        <f t="shared" si="8"/>
        <v>0.00</v>
      </c>
      <c r="H30" s="84">
        <v>2000</v>
      </c>
      <c r="I30" s="85">
        <v>9000</v>
      </c>
      <c r="K30" s="86" t="s">
        <v>209</v>
      </c>
      <c r="L30" s="84">
        <v>62</v>
      </c>
      <c r="M30" s="87">
        <v>0.02</v>
      </c>
      <c r="O30" s="106"/>
      <c r="Q30" s="107">
        <v>20</v>
      </c>
      <c r="R30" s="152">
        <v>0.26</v>
      </c>
      <c r="S30" s="108">
        <v>4</v>
      </c>
      <c r="U30" s="92">
        <v>6.89</v>
      </c>
      <c r="V30" s="93">
        <v>6.94</v>
      </c>
      <c r="W30" s="94">
        <v>6.27</v>
      </c>
      <c r="Y30" s="89">
        <v>13.3</v>
      </c>
      <c r="Z30" s="95">
        <v>13.3</v>
      </c>
      <c r="AA30" s="91">
        <v>15.1</v>
      </c>
      <c r="AC30" s="92">
        <v>5</v>
      </c>
      <c r="AD30" s="90">
        <v>0.01</v>
      </c>
      <c r="AE30" s="96">
        <v>0.01</v>
      </c>
      <c r="AG30" s="45">
        <f t="shared" si="1"/>
        <v>19</v>
      </c>
      <c r="AH30" s="281"/>
      <c r="AI30" s="97">
        <v>264</v>
      </c>
      <c r="AJ30" s="55">
        <f t="shared" si="2"/>
        <v>5832.46224</v>
      </c>
      <c r="AK30" s="97"/>
      <c r="AL30" s="55">
        <f t="shared" si="3"/>
      </c>
      <c r="AM30" s="97">
        <v>25</v>
      </c>
      <c r="AN30" s="55">
        <f t="shared" si="4"/>
        <v>552.3164999999999</v>
      </c>
      <c r="AO30" s="109">
        <v>11</v>
      </c>
      <c r="AQ30" s="99">
        <v>258</v>
      </c>
      <c r="AR30" s="55">
        <f t="shared" si="5"/>
        <v>5699.90628</v>
      </c>
      <c r="AS30" s="97"/>
      <c r="AT30" s="55">
        <f t="shared" si="6"/>
      </c>
      <c r="AU30" s="97">
        <v>23</v>
      </c>
      <c r="AV30" s="55">
        <f t="shared" si="7"/>
        <v>508.13118</v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2">
        <v>2773244</v>
      </c>
      <c r="D31" s="138">
        <f t="shared" si="0"/>
        <v>2.792</v>
      </c>
      <c r="E31" s="141">
        <v>4.4</v>
      </c>
      <c r="F31" s="142">
        <v>0.6</v>
      </c>
      <c r="G31" s="183" t="str">
        <f t="shared" si="8"/>
        <v>0.00</v>
      </c>
      <c r="H31" s="112">
        <v>150</v>
      </c>
      <c r="I31" s="113">
        <v>7000</v>
      </c>
      <c r="K31" s="114" t="s">
        <v>209</v>
      </c>
      <c r="L31" s="112">
        <v>58</v>
      </c>
      <c r="M31" s="115">
        <v>0</v>
      </c>
      <c r="O31" s="116"/>
      <c r="Q31" s="258">
        <v>23</v>
      </c>
      <c r="R31" s="259">
        <v>0.25</v>
      </c>
      <c r="S31" s="264"/>
      <c r="U31" s="117">
        <v>7.16</v>
      </c>
      <c r="V31" s="118">
        <v>6.61</v>
      </c>
      <c r="W31" s="119">
        <v>6.38</v>
      </c>
      <c r="Y31" s="120">
        <v>15.4</v>
      </c>
      <c r="Z31" s="121">
        <v>14.7</v>
      </c>
      <c r="AA31" s="122">
        <v>16</v>
      </c>
      <c r="AC31" s="117">
        <v>4</v>
      </c>
      <c r="AD31" s="123">
        <v>0.2</v>
      </c>
      <c r="AE31" s="124">
        <v>0</v>
      </c>
      <c r="AG31" s="45">
        <f t="shared" si="1"/>
        <v>20</v>
      </c>
      <c r="AH31" s="281"/>
      <c r="AI31" s="125">
        <v>246</v>
      </c>
      <c r="AJ31" s="65">
        <f t="shared" si="2"/>
        <v>5728.1788799999995</v>
      </c>
      <c r="AK31" s="125">
        <v>148</v>
      </c>
      <c r="AL31" s="65">
        <f t="shared" si="3"/>
        <v>3446.2214399999993</v>
      </c>
      <c r="AM31" s="125">
        <v>18</v>
      </c>
      <c r="AN31" s="65">
        <f t="shared" si="4"/>
        <v>419.13504</v>
      </c>
      <c r="AO31" s="126">
        <v>11</v>
      </c>
      <c r="AQ31" s="127">
        <v>234</v>
      </c>
      <c r="AR31" s="65">
        <f t="shared" si="5"/>
        <v>5448.75552</v>
      </c>
      <c r="AS31" s="125">
        <v>88</v>
      </c>
      <c r="AT31" s="65">
        <f t="shared" si="6"/>
        <v>2049.1046399999996</v>
      </c>
      <c r="AU31" s="125">
        <v>32</v>
      </c>
      <c r="AV31" s="65">
        <f t="shared" si="7"/>
        <v>745.1289599999999</v>
      </c>
      <c r="AX31" s="127">
        <v>48525</v>
      </c>
      <c r="AY31" s="128">
        <v>3</v>
      </c>
      <c r="AZ31" s="129">
        <v>3.5</v>
      </c>
      <c r="BA31" s="125">
        <v>37.2</v>
      </c>
      <c r="BB31" s="129">
        <v>27</v>
      </c>
      <c r="BC31" s="125">
        <v>24</v>
      </c>
      <c r="BD31" s="125"/>
      <c r="BE31" s="130"/>
      <c r="BG31" s="127"/>
      <c r="BH31" s="110"/>
      <c r="BI31" s="131"/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4">
        <v>2775860</v>
      </c>
      <c r="D32" s="137">
        <f t="shared" si="0"/>
        <v>2.616</v>
      </c>
      <c r="E32" s="139">
        <v>4.8</v>
      </c>
      <c r="F32" s="140">
        <v>0.6</v>
      </c>
      <c r="G32" s="81" t="str">
        <f t="shared" si="8"/>
        <v>0.00</v>
      </c>
      <c r="H32" s="84">
        <v>4500</v>
      </c>
      <c r="I32" s="85">
        <v>8800</v>
      </c>
      <c r="K32" s="86" t="s">
        <v>208</v>
      </c>
      <c r="L32" s="84">
        <v>63</v>
      </c>
      <c r="M32" s="87">
        <v>0.06</v>
      </c>
      <c r="O32" s="106"/>
      <c r="Q32" s="107">
        <v>20</v>
      </c>
      <c r="R32" s="152">
        <v>0.3</v>
      </c>
      <c r="S32" s="108"/>
      <c r="U32" s="92">
        <v>6.88</v>
      </c>
      <c r="V32" s="93">
        <v>6.99</v>
      </c>
      <c r="W32" s="94">
        <v>6.46</v>
      </c>
      <c r="Y32" s="89">
        <v>13.9</v>
      </c>
      <c r="Z32" s="95">
        <v>13.8</v>
      </c>
      <c r="AA32" s="91">
        <v>15.2</v>
      </c>
      <c r="AC32" s="92">
        <v>3.5</v>
      </c>
      <c r="AD32" s="90">
        <v>0.1</v>
      </c>
      <c r="AE32" s="96">
        <v>0.01</v>
      </c>
      <c r="AG32" s="45">
        <f t="shared" si="1"/>
        <v>21</v>
      </c>
      <c r="AH32" s="281"/>
      <c r="AI32" s="97">
        <v>222</v>
      </c>
      <c r="AJ32" s="55">
        <f t="shared" si="2"/>
        <v>4843.471680000001</v>
      </c>
      <c r="AK32" s="97"/>
      <c r="AL32" s="55">
        <f t="shared" si="3"/>
      </c>
      <c r="AM32" s="97">
        <v>17</v>
      </c>
      <c r="AN32" s="55">
        <f t="shared" si="4"/>
        <v>370.89648</v>
      </c>
      <c r="AO32" s="109">
        <v>11</v>
      </c>
      <c r="AQ32" s="99">
        <v>236</v>
      </c>
      <c r="AR32" s="55">
        <f t="shared" si="5"/>
        <v>5148.91584</v>
      </c>
      <c r="AS32" s="97"/>
      <c r="AT32" s="55">
        <f t="shared" si="6"/>
      </c>
      <c r="AU32" s="97">
        <v>26</v>
      </c>
      <c r="AV32" s="55">
        <f t="shared" si="7"/>
        <v>567.2534400000001</v>
      </c>
      <c r="AX32" s="99"/>
      <c r="AY32" s="100"/>
      <c r="AZ32" s="101"/>
      <c r="BA32" s="97"/>
      <c r="BB32" s="101"/>
      <c r="BC32" s="97"/>
      <c r="BD32" s="97"/>
      <c r="BE32" s="102"/>
      <c r="BG32" s="99">
        <v>24</v>
      </c>
      <c r="BH32" s="83" t="s">
        <v>220</v>
      </c>
      <c r="BI32" s="103" t="s">
        <v>221</v>
      </c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4">
        <v>2778435</v>
      </c>
      <c r="D33" s="137">
        <f t="shared" si="0"/>
        <v>2.575</v>
      </c>
      <c r="E33" s="139">
        <v>4.7</v>
      </c>
      <c r="F33" s="140">
        <v>0.6</v>
      </c>
      <c r="G33" s="81" t="str">
        <f t="shared" si="8"/>
        <v>0.00</v>
      </c>
      <c r="H33" s="84">
        <v>0</v>
      </c>
      <c r="I33" s="85">
        <v>0</v>
      </c>
      <c r="K33" s="86" t="s">
        <v>208</v>
      </c>
      <c r="L33" s="84">
        <v>49</v>
      </c>
      <c r="M33" s="87">
        <v>0.75</v>
      </c>
      <c r="O33" s="106"/>
      <c r="Q33" s="107">
        <v>20</v>
      </c>
      <c r="R33" s="152">
        <v>0.25</v>
      </c>
      <c r="S33" s="108"/>
      <c r="U33" s="92">
        <v>7.02</v>
      </c>
      <c r="V33" s="93">
        <v>6.97</v>
      </c>
      <c r="W33" s="94">
        <v>6.35</v>
      </c>
      <c r="Y33" s="89">
        <v>13.1</v>
      </c>
      <c r="Z33" s="95">
        <v>13</v>
      </c>
      <c r="AA33" s="91">
        <v>14.8</v>
      </c>
      <c r="AC33" s="92">
        <v>8</v>
      </c>
      <c r="AD33" s="90">
        <v>0.01</v>
      </c>
      <c r="AE33" s="96">
        <v>0</v>
      </c>
      <c r="AG33" s="45">
        <f t="shared" si="1"/>
        <v>22</v>
      </c>
      <c r="AH33" s="281"/>
      <c r="AI33" s="97"/>
      <c r="AJ33" s="55">
        <f t="shared" si="2"/>
      </c>
      <c r="AK33" s="97"/>
      <c r="AL33" s="55">
        <f t="shared" si="3"/>
      </c>
      <c r="AM33" s="97"/>
      <c r="AN33" s="55">
        <f t="shared" si="4"/>
      </c>
      <c r="AO33" s="109"/>
      <c r="AQ33" s="99"/>
      <c r="AR33" s="55">
        <f t="shared" si="5"/>
      </c>
      <c r="AS33" s="97"/>
      <c r="AT33" s="55">
        <f t="shared" si="6"/>
      </c>
      <c r="AU33" s="97"/>
      <c r="AV33" s="55">
        <f t="shared" si="7"/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147">
        <f>(D47)</f>
        <v>2.8078064516129038</v>
      </c>
      <c r="BR33" s="147">
        <f>(D45)</f>
        <v>3.323</v>
      </c>
      <c r="BS33" s="104" t="s">
        <v>127</v>
      </c>
      <c r="BT33" s="104"/>
      <c r="BU33" s="238" t="s">
        <v>150</v>
      </c>
      <c r="BV33" s="238" t="s">
        <v>150</v>
      </c>
      <c r="BW33" s="238" t="s">
        <v>150</v>
      </c>
      <c r="BX33" s="238" t="s">
        <v>150</v>
      </c>
      <c r="BY33" s="104"/>
      <c r="BZ33" s="104">
        <v>0</v>
      </c>
      <c r="CA33" s="148" t="s">
        <v>24</v>
      </c>
      <c r="CB33" s="104" t="s">
        <v>25</v>
      </c>
      <c r="CC33" s="136"/>
      <c r="CJ33" s="338" t="s">
        <v>17</v>
      </c>
      <c r="CK33" s="340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4">
        <v>2781132</v>
      </c>
      <c r="D34" s="137">
        <f t="shared" si="0"/>
        <v>2.697</v>
      </c>
      <c r="E34" s="139">
        <v>3.4</v>
      </c>
      <c r="F34" s="140">
        <v>0.8</v>
      </c>
      <c r="G34" s="81" t="str">
        <f t="shared" si="8"/>
        <v>0.00</v>
      </c>
      <c r="H34" s="84">
        <v>0</v>
      </c>
      <c r="I34" s="85">
        <v>1000</v>
      </c>
      <c r="K34" s="86" t="s">
        <v>213</v>
      </c>
      <c r="L34" s="84">
        <v>50</v>
      </c>
      <c r="M34" s="87">
        <v>0.26</v>
      </c>
      <c r="O34" s="106"/>
      <c r="Q34" s="107">
        <v>20</v>
      </c>
      <c r="R34" s="152">
        <v>0.36</v>
      </c>
      <c r="S34" s="108"/>
      <c r="U34" s="92">
        <v>6.92</v>
      </c>
      <c r="V34" s="93">
        <v>6.94</v>
      </c>
      <c r="W34" s="94">
        <v>6.37</v>
      </c>
      <c r="Y34" s="89">
        <v>13.2</v>
      </c>
      <c r="Z34" s="95">
        <v>13.1</v>
      </c>
      <c r="AA34" s="91">
        <v>14.2</v>
      </c>
      <c r="AC34" s="92">
        <v>2.5</v>
      </c>
      <c r="AD34" s="90">
        <v>0.01</v>
      </c>
      <c r="AE34" s="96">
        <v>0</v>
      </c>
      <c r="AG34" s="45">
        <f t="shared" si="1"/>
        <v>23</v>
      </c>
      <c r="AH34" s="281"/>
      <c r="AI34" s="97"/>
      <c r="AJ34" s="55">
        <f t="shared" si="2"/>
      </c>
      <c r="AK34" s="97"/>
      <c r="AL34" s="55">
        <f t="shared" si="3"/>
      </c>
      <c r="AM34" s="97"/>
      <c r="AN34" s="55">
        <f t="shared" si="4"/>
      </c>
      <c r="AO34" s="109"/>
      <c r="AQ34" s="99"/>
      <c r="AR34" s="55">
        <f t="shared" si="5"/>
      </c>
      <c r="AS34" s="97"/>
      <c r="AT34" s="55">
        <f t="shared" si="6"/>
      </c>
      <c r="AU34" s="97"/>
      <c r="AV34" s="55">
        <f t="shared" si="7"/>
      </c>
      <c r="AX34" s="99"/>
      <c r="AY34" s="100"/>
      <c r="AZ34" s="101"/>
      <c r="BA34" s="97"/>
      <c r="BB34" s="101"/>
      <c r="BC34" s="97"/>
      <c r="BD34" s="97"/>
      <c r="BE34" s="102"/>
      <c r="BG34" s="99"/>
      <c r="BH34" s="83"/>
      <c r="BI34" s="103"/>
      <c r="BK34" s="17"/>
      <c r="BL34" s="19"/>
      <c r="BM34" s="26" t="s">
        <v>86</v>
      </c>
      <c r="BN34" s="20"/>
      <c r="BO34" s="153" t="s">
        <v>131</v>
      </c>
      <c r="BP34" s="26"/>
      <c r="BQ34" s="159">
        <v>3.85</v>
      </c>
      <c r="BR34" s="155" t="s">
        <v>146</v>
      </c>
      <c r="BS34" s="155" t="s">
        <v>127</v>
      </c>
      <c r="BT34" s="104"/>
      <c r="BU34" s="237" t="s">
        <v>150</v>
      </c>
      <c r="BV34" s="237" t="s">
        <v>150</v>
      </c>
      <c r="BW34" s="237" t="s">
        <v>150</v>
      </c>
      <c r="BX34" s="237" t="s">
        <v>150</v>
      </c>
      <c r="BY34" s="104"/>
      <c r="BZ34" s="237" t="s">
        <v>150</v>
      </c>
      <c r="CA34" s="160" t="s">
        <v>24</v>
      </c>
      <c r="CB34" s="155" t="s">
        <v>25</v>
      </c>
      <c r="CC34" s="136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4">
        <v>2783870</v>
      </c>
      <c r="D35" s="137">
        <f t="shared" si="0"/>
        <v>2.738</v>
      </c>
      <c r="E35" s="139">
        <v>4.3</v>
      </c>
      <c r="F35" s="140">
        <v>1</v>
      </c>
      <c r="G35" s="81" t="str">
        <f t="shared" si="8"/>
        <v>0.00</v>
      </c>
      <c r="H35" s="84">
        <v>2600</v>
      </c>
      <c r="I35" s="85">
        <v>5750</v>
      </c>
      <c r="K35" s="86" t="s">
        <v>213</v>
      </c>
      <c r="L35" s="84">
        <v>50</v>
      </c>
      <c r="M35" s="87">
        <v>0.82</v>
      </c>
      <c r="O35" s="106"/>
      <c r="Q35" s="107">
        <v>20</v>
      </c>
      <c r="R35" s="152">
        <v>0.27</v>
      </c>
      <c r="S35" s="108">
        <v>43</v>
      </c>
      <c r="U35" s="92">
        <v>6.95</v>
      </c>
      <c r="V35" s="93">
        <v>6.9</v>
      </c>
      <c r="W35" s="94">
        <v>6.31</v>
      </c>
      <c r="Y35" s="89">
        <v>13.4</v>
      </c>
      <c r="Z35" s="95">
        <v>13.4</v>
      </c>
      <c r="AA35" s="91">
        <v>14.5</v>
      </c>
      <c r="AC35" s="92">
        <v>4</v>
      </c>
      <c r="AD35" s="90">
        <v>0.01</v>
      </c>
      <c r="AE35" s="96">
        <v>0.01</v>
      </c>
      <c r="AG35" s="45">
        <f t="shared" si="1"/>
        <v>24</v>
      </c>
      <c r="AH35" s="281"/>
      <c r="AI35" s="97"/>
      <c r="AJ35" s="55">
        <f t="shared" si="2"/>
      </c>
      <c r="AK35" s="97"/>
      <c r="AL35" s="55">
        <f t="shared" si="3"/>
      </c>
      <c r="AM35" s="97"/>
      <c r="AN35" s="55">
        <f t="shared" si="4"/>
      </c>
      <c r="AO35" s="109"/>
      <c r="AQ35" s="99"/>
      <c r="AR35" s="55">
        <f t="shared" si="5"/>
      </c>
      <c r="AS35" s="97"/>
      <c r="AT35" s="55">
        <f t="shared" si="6"/>
      </c>
      <c r="AU35" s="97"/>
      <c r="AV35" s="55">
        <f t="shared" si="7"/>
      </c>
      <c r="AX35" s="99">
        <v>57673</v>
      </c>
      <c r="AY35" s="100">
        <v>2</v>
      </c>
      <c r="AZ35" s="101">
        <v>4</v>
      </c>
      <c r="BA35" s="97">
        <v>37.2</v>
      </c>
      <c r="BB35" s="101">
        <v>27</v>
      </c>
      <c r="BC35" s="97">
        <v>24</v>
      </c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2">
        <v>2787011</v>
      </c>
      <c r="D36" s="138">
        <f t="shared" si="0"/>
        <v>3.141</v>
      </c>
      <c r="E36" s="141">
        <v>4</v>
      </c>
      <c r="F36" s="142">
        <v>0.8</v>
      </c>
      <c r="G36" s="183" t="str">
        <f t="shared" si="8"/>
        <v>0.00</v>
      </c>
      <c r="H36" s="112">
        <v>6000</v>
      </c>
      <c r="I36" s="113">
        <v>9500</v>
      </c>
      <c r="K36" s="114" t="s">
        <v>208</v>
      </c>
      <c r="L36" s="112">
        <v>48</v>
      </c>
      <c r="M36" s="115">
        <v>0.06</v>
      </c>
      <c r="O36" s="116"/>
      <c r="Q36" s="258">
        <v>24</v>
      </c>
      <c r="R36" s="259">
        <v>0.24</v>
      </c>
      <c r="S36" s="264">
        <v>10</v>
      </c>
      <c r="U36" s="117">
        <v>6.99</v>
      </c>
      <c r="V36" s="118">
        <v>6.95</v>
      </c>
      <c r="W36" s="119">
        <v>6.4</v>
      </c>
      <c r="Y36" s="120">
        <v>13.4</v>
      </c>
      <c r="Z36" s="121">
        <v>13.4</v>
      </c>
      <c r="AA36" s="122">
        <v>14.4</v>
      </c>
      <c r="AC36" s="117">
        <v>6.5</v>
      </c>
      <c r="AD36" s="123">
        <v>0.01</v>
      </c>
      <c r="AE36" s="124">
        <v>0.01</v>
      </c>
      <c r="AG36" s="45">
        <f t="shared" si="1"/>
        <v>25</v>
      </c>
      <c r="AH36" s="281"/>
      <c r="AI36" s="125"/>
      <c r="AJ36" s="65">
        <f t="shared" si="2"/>
      </c>
      <c r="AK36" s="125"/>
      <c r="AL36" s="65">
        <f t="shared" si="3"/>
      </c>
      <c r="AM36" s="125"/>
      <c r="AN36" s="65">
        <f t="shared" si="4"/>
      </c>
      <c r="AO36" s="126"/>
      <c r="AQ36" s="127"/>
      <c r="AR36" s="65">
        <f t="shared" si="5"/>
      </c>
      <c r="AS36" s="125"/>
      <c r="AT36" s="65">
        <f t="shared" si="6"/>
      </c>
      <c r="AU36" s="125"/>
      <c r="AV36" s="65">
        <f t="shared" si="7"/>
      </c>
      <c r="AX36" s="127"/>
      <c r="AY36" s="128"/>
      <c r="AZ36" s="129"/>
      <c r="BA36" s="125"/>
      <c r="BB36" s="129"/>
      <c r="BC36" s="125"/>
      <c r="BD36" s="125"/>
      <c r="BE36" s="130"/>
      <c r="BG36" s="127">
        <v>24</v>
      </c>
      <c r="BH36" s="110" t="s">
        <v>210</v>
      </c>
      <c r="BI36" s="131" t="s">
        <v>211</v>
      </c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4">
        <v>2790057</v>
      </c>
      <c r="D37" s="137">
        <f t="shared" si="0"/>
        <v>3.046</v>
      </c>
      <c r="E37" s="139">
        <v>4.2</v>
      </c>
      <c r="F37" s="140">
        <v>1</v>
      </c>
      <c r="G37" s="81" t="str">
        <f t="shared" si="8"/>
        <v>0.00</v>
      </c>
      <c r="H37" s="84">
        <v>9400</v>
      </c>
      <c r="I37" s="85">
        <v>10000</v>
      </c>
      <c r="K37" s="86" t="s">
        <v>208</v>
      </c>
      <c r="L37" s="84">
        <v>46</v>
      </c>
      <c r="M37" s="87">
        <v>0.02</v>
      </c>
      <c r="O37" s="106"/>
      <c r="Q37" s="107">
        <v>22</v>
      </c>
      <c r="R37" s="152">
        <v>0.19</v>
      </c>
      <c r="S37" s="108">
        <v>183</v>
      </c>
      <c r="U37" s="92">
        <v>6.87</v>
      </c>
      <c r="V37" s="93">
        <v>6.82</v>
      </c>
      <c r="W37" s="94">
        <v>6.22</v>
      </c>
      <c r="Y37" s="89">
        <v>13.5</v>
      </c>
      <c r="Z37" s="95">
        <v>13</v>
      </c>
      <c r="AA37" s="91">
        <v>14.1</v>
      </c>
      <c r="AC37" s="92">
        <v>6</v>
      </c>
      <c r="AD37" s="90">
        <v>0.01</v>
      </c>
      <c r="AE37" s="96">
        <v>0</v>
      </c>
      <c r="AG37" s="45">
        <f t="shared" si="1"/>
        <v>26</v>
      </c>
      <c r="AH37" s="281"/>
      <c r="AI37" s="97">
        <v>208</v>
      </c>
      <c r="AJ37" s="55">
        <f t="shared" si="2"/>
        <v>5283.95712</v>
      </c>
      <c r="AK37" s="97"/>
      <c r="AL37" s="55">
        <f t="shared" si="3"/>
      </c>
      <c r="AM37" s="97">
        <v>19</v>
      </c>
      <c r="AN37" s="55">
        <f t="shared" si="4"/>
        <v>482.66916</v>
      </c>
      <c r="AO37" s="109">
        <v>13</v>
      </c>
      <c r="AQ37" s="99">
        <v>212</v>
      </c>
      <c r="AR37" s="55">
        <f t="shared" si="5"/>
        <v>5385.571679999999</v>
      </c>
      <c r="AS37" s="97"/>
      <c r="AT37" s="55">
        <f t="shared" si="6"/>
      </c>
      <c r="AU37" s="97">
        <v>30</v>
      </c>
      <c r="AV37" s="55">
        <f t="shared" si="7"/>
        <v>762.1092</v>
      </c>
      <c r="AX37" s="99"/>
      <c r="AY37" s="100"/>
      <c r="AZ37" s="101"/>
      <c r="BA37" s="97"/>
      <c r="BB37" s="101"/>
      <c r="BC37" s="97"/>
      <c r="BD37" s="97"/>
      <c r="BE37" s="102"/>
      <c r="BG37" s="99"/>
      <c r="BH37" s="83"/>
      <c r="BI37" s="103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4">
        <f>(IF(((SUM(AJ12:AJ42))=0)," ",(((AJ47-(D47*AO47*8.346))/AJ47)*100)))</f>
        <v>94.82511854623405</v>
      </c>
      <c r="CK37" s="345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4">
        <v>2793065</v>
      </c>
      <c r="D38" s="137">
        <f t="shared" si="0"/>
        <v>3.008</v>
      </c>
      <c r="E38" s="139">
        <v>4</v>
      </c>
      <c r="F38" s="140">
        <v>0.8</v>
      </c>
      <c r="G38" s="81" t="str">
        <f t="shared" si="8"/>
        <v>0.00</v>
      </c>
      <c r="H38" s="84">
        <v>7750</v>
      </c>
      <c r="I38" s="85">
        <v>9000</v>
      </c>
      <c r="K38" s="86" t="s">
        <v>208</v>
      </c>
      <c r="L38" s="84">
        <v>52</v>
      </c>
      <c r="M38" s="87">
        <v>0.05</v>
      </c>
      <c r="O38" s="106"/>
      <c r="Q38" s="107">
        <v>19</v>
      </c>
      <c r="R38" s="152">
        <v>0.3</v>
      </c>
      <c r="S38" s="108"/>
      <c r="U38" s="92">
        <v>7.07</v>
      </c>
      <c r="V38" s="93">
        <v>6.91</v>
      </c>
      <c r="W38" s="94">
        <v>6.36</v>
      </c>
      <c r="Y38" s="89">
        <v>13.7</v>
      </c>
      <c r="Z38" s="95">
        <v>13</v>
      </c>
      <c r="AA38" s="91">
        <v>14.1</v>
      </c>
      <c r="AC38" s="92">
        <v>5</v>
      </c>
      <c r="AD38" s="90">
        <v>0.1</v>
      </c>
      <c r="AE38" s="96">
        <v>0.1</v>
      </c>
      <c r="AG38" s="45">
        <f t="shared" si="1"/>
        <v>27</v>
      </c>
      <c r="AH38" s="281"/>
      <c r="AI38" s="97">
        <v>229</v>
      </c>
      <c r="AJ38" s="55">
        <f t="shared" si="2"/>
        <v>5744.85888</v>
      </c>
      <c r="AK38" s="97"/>
      <c r="AL38" s="55">
        <f t="shared" si="3"/>
      </c>
      <c r="AM38" s="97">
        <v>18</v>
      </c>
      <c r="AN38" s="55">
        <f t="shared" si="4"/>
        <v>451.56095999999997</v>
      </c>
      <c r="AO38" s="109">
        <v>14</v>
      </c>
      <c r="AQ38" s="99">
        <v>218</v>
      </c>
      <c r="AR38" s="55">
        <f t="shared" si="5"/>
        <v>5468.90496</v>
      </c>
      <c r="AS38" s="97"/>
      <c r="AT38" s="55">
        <f t="shared" si="6"/>
      </c>
      <c r="AU38" s="97">
        <v>29</v>
      </c>
      <c r="AV38" s="55">
        <f t="shared" si="7"/>
        <v>727.51488</v>
      </c>
      <c r="AX38" s="99">
        <v>49354</v>
      </c>
      <c r="AY38" s="100">
        <v>3</v>
      </c>
      <c r="AZ38" s="101">
        <v>3.5</v>
      </c>
      <c r="BA38" s="97">
        <v>34.1</v>
      </c>
      <c r="BB38" s="101">
        <v>27</v>
      </c>
      <c r="BC38" s="97">
        <v>24</v>
      </c>
      <c r="BD38" s="97"/>
      <c r="BE38" s="102"/>
      <c r="BG38" s="99">
        <v>24</v>
      </c>
      <c r="BH38" s="83" t="s">
        <v>210</v>
      </c>
      <c r="BI38" s="103" t="s">
        <v>211</v>
      </c>
      <c r="BK38" s="17"/>
      <c r="BL38" s="19"/>
      <c r="BM38" s="56" t="s">
        <v>117</v>
      </c>
      <c r="BN38" s="20"/>
      <c r="BO38" s="57" t="s">
        <v>130</v>
      </c>
      <c r="BP38" s="26"/>
      <c r="BQ38" s="238" t="s">
        <v>150</v>
      </c>
      <c r="BR38" s="238" t="s">
        <v>150</v>
      </c>
      <c r="BS38" s="238" t="s">
        <v>150</v>
      </c>
      <c r="BT38" s="104"/>
      <c r="BU38" s="145">
        <f>(AN49)</f>
        <v>91.85013684834996</v>
      </c>
      <c r="BV38" s="238" t="s">
        <v>150</v>
      </c>
      <c r="BW38" s="238" t="s">
        <v>150</v>
      </c>
      <c r="BX38" s="104" t="s">
        <v>129</v>
      </c>
      <c r="BY38" s="104"/>
      <c r="BZ38" s="104">
        <v>0</v>
      </c>
      <c r="CA38" s="144" t="s">
        <v>49</v>
      </c>
      <c r="CB38" s="104" t="s">
        <v>26</v>
      </c>
      <c r="CC38" s="136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4">
        <v>2795963</v>
      </c>
      <c r="D39" s="137">
        <f t="shared" si="0"/>
        <v>2.898</v>
      </c>
      <c r="E39" s="139">
        <v>4.9</v>
      </c>
      <c r="F39" s="140">
        <v>0.9</v>
      </c>
      <c r="G39" s="81" t="str">
        <f t="shared" si="8"/>
        <v>0.00</v>
      </c>
      <c r="H39" s="84">
        <v>8800</v>
      </c>
      <c r="I39" s="85">
        <v>8750</v>
      </c>
      <c r="K39" s="86" t="s">
        <v>213</v>
      </c>
      <c r="L39" s="84">
        <v>50</v>
      </c>
      <c r="M39" s="87">
        <v>0.4</v>
      </c>
      <c r="O39" s="106"/>
      <c r="Q39" s="107">
        <v>18</v>
      </c>
      <c r="R39" s="152">
        <v>0.29</v>
      </c>
      <c r="S39" s="108"/>
      <c r="U39" s="92">
        <v>6.8</v>
      </c>
      <c r="V39" s="93">
        <v>6.9</v>
      </c>
      <c r="W39" s="94">
        <v>6.42</v>
      </c>
      <c r="Y39" s="89">
        <v>13.1</v>
      </c>
      <c r="Z39" s="95">
        <v>13.3</v>
      </c>
      <c r="AA39" s="91">
        <v>14.3</v>
      </c>
      <c r="AC39" s="92">
        <v>4.5</v>
      </c>
      <c r="AD39" s="90">
        <v>0</v>
      </c>
      <c r="AE39" s="96">
        <v>0</v>
      </c>
      <c r="AG39" s="45">
        <f t="shared" si="1"/>
        <v>28</v>
      </c>
      <c r="AH39" s="281"/>
      <c r="AI39" s="97">
        <v>209</v>
      </c>
      <c r="AJ39" s="55">
        <f t="shared" si="2"/>
        <v>5051.38788</v>
      </c>
      <c r="AK39" s="97">
        <v>149</v>
      </c>
      <c r="AL39" s="55">
        <f t="shared" si="3"/>
        <v>3601.22868</v>
      </c>
      <c r="AM39" s="97">
        <v>17</v>
      </c>
      <c r="AN39" s="55">
        <f t="shared" si="4"/>
        <v>410.87844</v>
      </c>
      <c r="AO39" s="109">
        <v>13</v>
      </c>
      <c r="AQ39" s="99">
        <v>208</v>
      </c>
      <c r="AR39" s="55">
        <f t="shared" si="5"/>
        <v>5027.21856</v>
      </c>
      <c r="AS39" s="97">
        <v>80</v>
      </c>
      <c r="AT39" s="55">
        <f t="shared" si="6"/>
        <v>1933.5456</v>
      </c>
      <c r="AU39" s="97">
        <v>27</v>
      </c>
      <c r="AV39" s="55">
        <f t="shared" si="7"/>
        <v>652.5716400000001</v>
      </c>
      <c r="AX39" s="99"/>
      <c r="AY39" s="100"/>
      <c r="AZ39" s="101"/>
      <c r="BA39" s="97"/>
      <c r="BB39" s="101"/>
      <c r="BC39" s="97"/>
      <c r="BD39" s="97"/>
      <c r="BE39" s="102"/>
      <c r="BG39" s="99"/>
      <c r="BH39" s="83"/>
      <c r="BI39" s="103"/>
      <c r="BK39" s="17"/>
      <c r="BL39" s="19"/>
      <c r="BM39" s="26" t="s">
        <v>118</v>
      </c>
      <c r="BN39" s="20"/>
      <c r="BO39" s="153" t="s">
        <v>131</v>
      </c>
      <c r="BP39" s="26"/>
      <c r="BQ39" s="237" t="s">
        <v>150</v>
      </c>
      <c r="BR39" s="237" t="s">
        <v>150</v>
      </c>
      <c r="BS39" s="237" t="s">
        <v>150</v>
      </c>
      <c r="BT39" s="104"/>
      <c r="BU39" s="158">
        <v>85</v>
      </c>
      <c r="BV39" s="237" t="s">
        <v>150</v>
      </c>
      <c r="BW39" s="237" t="s">
        <v>150</v>
      </c>
      <c r="BX39" s="155" t="s">
        <v>129</v>
      </c>
      <c r="BY39" s="104"/>
      <c r="BZ39" s="237" t="s">
        <v>150</v>
      </c>
      <c r="CA39" s="157" t="s">
        <v>49</v>
      </c>
      <c r="CB39" s="155" t="s">
        <v>26</v>
      </c>
      <c r="CC39" s="136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3">
        <v>29</v>
      </c>
      <c r="C40" s="84">
        <v>2799059</v>
      </c>
      <c r="D40" s="137">
        <f t="shared" si="0"/>
        <v>3.096</v>
      </c>
      <c r="E40" s="139">
        <v>4.2</v>
      </c>
      <c r="F40" s="140">
        <v>0.8</v>
      </c>
      <c r="G40" s="81" t="str">
        <f t="shared" si="8"/>
        <v>0.00</v>
      </c>
      <c r="H40" s="84">
        <v>0</v>
      </c>
      <c r="I40" s="85">
        <v>3000</v>
      </c>
      <c r="K40" s="86" t="s">
        <v>208</v>
      </c>
      <c r="L40" s="84">
        <v>52</v>
      </c>
      <c r="M40" s="87">
        <v>0.01</v>
      </c>
      <c r="O40" s="106"/>
      <c r="Q40" s="107">
        <v>16</v>
      </c>
      <c r="R40" s="152">
        <v>0.29</v>
      </c>
      <c r="S40" s="108"/>
      <c r="U40" s="92">
        <v>6.95</v>
      </c>
      <c r="V40" s="93">
        <v>6.89</v>
      </c>
      <c r="W40" s="94">
        <v>6.39</v>
      </c>
      <c r="Y40" s="89">
        <v>13.1</v>
      </c>
      <c r="Z40" s="95">
        <v>12.9</v>
      </c>
      <c r="AA40" s="91">
        <v>13.4</v>
      </c>
      <c r="AC40" s="92">
        <v>4.5</v>
      </c>
      <c r="AD40" s="90">
        <v>0.01</v>
      </c>
      <c r="AE40" s="96">
        <v>0.01</v>
      </c>
      <c r="AG40" s="45">
        <f t="shared" si="1"/>
        <v>29</v>
      </c>
      <c r="AH40" s="281"/>
      <c r="AI40" s="97"/>
      <c r="AJ40" s="55">
        <f t="shared" si="2"/>
      </c>
      <c r="AK40" s="97"/>
      <c r="AL40" s="55">
        <f t="shared" si="3"/>
      </c>
      <c r="AM40" s="97"/>
      <c r="AN40" s="55">
        <f t="shared" si="4"/>
      </c>
      <c r="AO40" s="109"/>
      <c r="AQ40" s="99"/>
      <c r="AR40" s="55">
        <f t="shared" si="5"/>
      </c>
      <c r="AS40" s="97"/>
      <c r="AT40" s="55">
        <f t="shared" si="6"/>
      </c>
      <c r="AU40" s="97"/>
      <c r="AV40" s="55">
        <f t="shared" si="7"/>
      </c>
      <c r="AX40" s="99"/>
      <c r="AY40" s="100"/>
      <c r="AZ40" s="101"/>
      <c r="BA40" s="97"/>
      <c r="BB40" s="101"/>
      <c r="BC40" s="97"/>
      <c r="BD40" s="97"/>
      <c r="BE40" s="102"/>
      <c r="BG40" s="99"/>
      <c r="BH40" s="83"/>
      <c r="BI40" s="103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3">
        <v>30</v>
      </c>
      <c r="C41" s="84">
        <v>2801901</v>
      </c>
      <c r="D41" s="137">
        <f t="shared" si="0"/>
        <v>2.842</v>
      </c>
      <c r="E41" s="139">
        <v>4</v>
      </c>
      <c r="F41" s="140">
        <v>0.8</v>
      </c>
      <c r="G41" s="81" t="str">
        <f t="shared" si="8"/>
        <v>0.00</v>
      </c>
      <c r="H41" s="84">
        <v>0</v>
      </c>
      <c r="I41" s="85">
        <v>0</v>
      </c>
      <c r="K41" s="86" t="s">
        <v>209</v>
      </c>
      <c r="L41" s="84">
        <v>55</v>
      </c>
      <c r="M41" s="87">
        <v>0</v>
      </c>
      <c r="O41" s="106"/>
      <c r="Q41" s="107">
        <v>16</v>
      </c>
      <c r="R41" s="152">
        <v>0.38</v>
      </c>
      <c r="S41" s="108"/>
      <c r="U41" s="92">
        <v>7.03</v>
      </c>
      <c r="V41" s="93">
        <v>6.96</v>
      </c>
      <c r="W41" s="94">
        <v>6.52</v>
      </c>
      <c r="Y41" s="89">
        <v>12.7</v>
      </c>
      <c r="Z41" s="95">
        <v>12.7</v>
      </c>
      <c r="AA41" s="91">
        <v>13.2</v>
      </c>
      <c r="AC41" s="92">
        <v>1</v>
      </c>
      <c r="AD41" s="90">
        <v>0.01</v>
      </c>
      <c r="AE41" s="96">
        <v>0.01</v>
      </c>
      <c r="AG41" s="45">
        <f t="shared" si="1"/>
        <v>30</v>
      </c>
      <c r="AH41" s="281"/>
      <c r="AI41" s="97"/>
      <c r="AJ41" s="55">
        <f t="shared" si="2"/>
      </c>
      <c r="AK41" s="97"/>
      <c r="AL41" s="55">
        <f t="shared" si="3"/>
      </c>
      <c r="AM41" s="97"/>
      <c r="AN41" s="55">
        <f t="shared" si="4"/>
      </c>
      <c r="AO41" s="109"/>
      <c r="AQ41" s="99"/>
      <c r="AR41" s="55">
        <f t="shared" si="5"/>
      </c>
      <c r="AS41" s="97"/>
      <c r="AT41" s="55">
        <f t="shared" si="6"/>
      </c>
      <c r="AU41" s="97"/>
      <c r="AV41" s="55">
        <f t="shared" si="7"/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3">
        <v>31</v>
      </c>
      <c r="C42" s="112">
        <v>2804572</v>
      </c>
      <c r="D42" s="138">
        <f t="shared" si="0"/>
        <v>2.671</v>
      </c>
      <c r="E42" s="141">
        <v>4.4</v>
      </c>
      <c r="F42" s="142">
        <v>0.8</v>
      </c>
      <c r="G42" s="183" t="str">
        <f t="shared" si="8"/>
        <v>0.00</v>
      </c>
      <c r="H42" s="112">
        <v>0</v>
      </c>
      <c r="I42" s="113">
        <v>0</v>
      </c>
      <c r="K42" s="114" t="s">
        <v>209</v>
      </c>
      <c r="L42" s="112">
        <v>52</v>
      </c>
      <c r="M42" s="115">
        <v>0</v>
      </c>
      <c r="O42" s="116"/>
      <c r="Q42" s="258">
        <v>16</v>
      </c>
      <c r="R42" s="259">
        <v>0.35</v>
      </c>
      <c r="S42" s="113"/>
      <c r="U42" s="133">
        <v>6.81</v>
      </c>
      <c r="V42" s="134">
        <v>6.87</v>
      </c>
      <c r="W42" s="135">
        <v>6.45</v>
      </c>
      <c r="Y42" s="132">
        <v>12.8</v>
      </c>
      <c r="Z42" s="112">
        <v>12.7</v>
      </c>
      <c r="AA42" s="113">
        <v>13.5</v>
      </c>
      <c r="AC42" s="133">
        <v>2.5</v>
      </c>
      <c r="AD42" s="111">
        <v>0.01</v>
      </c>
      <c r="AE42" s="115">
        <v>0</v>
      </c>
      <c r="AG42" s="45">
        <f t="shared" si="1"/>
        <v>31</v>
      </c>
      <c r="AH42" s="281"/>
      <c r="AI42" s="125"/>
      <c r="AJ42" s="65">
        <f t="shared" si="2"/>
      </c>
      <c r="AK42" s="125"/>
      <c r="AL42" s="65">
        <f t="shared" si="3"/>
      </c>
      <c r="AM42" s="125"/>
      <c r="AN42" s="65">
        <f t="shared" si="4"/>
      </c>
      <c r="AO42" s="126"/>
      <c r="AQ42" s="127"/>
      <c r="AR42" s="65">
        <f t="shared" si="5"/>
      </c>
      <c r="AS42" s="125"/>
      <c r="AT42" s="65">
        <f t="shared" si="6"/>
      </c>
      <c r="AU42" s="125"/>
      <c r="AV42" s="65">
        <f t="shared" si="7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8" t="s">
        <v>150</v>
      </c>
      <c r="BR43" s="238" t="s">
        <v>150</v>
      </c>
      <c r="BS43" s="238" t="s">
        <v>150</v>
      </c>
      <c r="BT43" s="104"/>
      <c r="BU43" s="145">
        <f>(AU49)</f>
        <v>87.71162919789064</v>
      </c>
      <c r="BV43" s="238" t="s">
        <v>150</v>
      </c>
      <c r="BW43" s="238" t="s">
        <v>150</v>
      </c>
      <c r="BX43" s="104" t="s">
        <v>129</v>
      </c>
      <c r="BY43" s="104"/>
      <c r="BZ43" s="104">
        <v>0</v>
      </c>
      <c r="CA43" s="144" t="s">
        <v>49</v>
      </c>
      <c r="CB43" s="104" t="s">
        <v>26</v>
      </c>
      <c r="CC43" s="136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8">
        <f>(IF(((SUM(C12:C42))=0)," ",((MAX(C12:C42))-C11)))</f>
        <v>87042</v>
      </c>
      <c r="D44" s="227">
        <f>(IF(((SUM(D12:D42))=0)," ",(SUM(D12:D42))))</f>
        <v>87.04200000000002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81900</v>
      </c>
      <c r="I44" s="195">
        <f>(IF(((SUM(I12:I42))=0)," ",(SUM(I12:I42))))</f>
        <v>176750</v>
      </c>
      <c r="K44" s="199" t="s">
        <v>150</v>
      </c>
      <c r="L44" s="200" t="s">
        <v>150</v>
      </c>
      <c r="M44" s="201">
        <f>(IF(((SUM(M12:M42))=0)," ",(SUM(M11:M42))))</f>
        <v>4.44</v>
      </c>
      <c r="O44" s="202" t="str">
        <f>(IF(((SUM(O12:O42))=0),"0.0",(SUM(O11:O42))))</f>
        <v>0.0</v>
      </c>
      <c r="Q44" s="198">
        <f>(IF(((SUM(Q12:Q42))=0),"0",(SUM(Q11:Q42))))</f>
        <v>357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404918</v>
      </c>
      <c r="AY44" s="200" t="s">
        <v>150</v>
      </c>
      <c r="AZ44" s="211">
        <f>(IF(((SUM(AZ12:AZ42))=0)," ",(SUM(AZ12:AZ42))))</f>
        <v>37</v>
      </c>
      <c r="BA44" s="198">
        <f>(IF(((SUM(BA12:BA42))=0)," ",(SUM(BA12:BA42))))</f>
        <v>279</v>
      </c>
      <c r="BB44" s="206" t="s">
        <v>150</v>
      </c>
      <c r="BC44" s="198">
        <f>(IF(((SUM(BC12:BC42))=0)," ",(SUM(BC12:BC42))))</f>
        <v>180</v>
      </c>
      <c r="BD44" s="188" t="str">
        <f>(IF(((SUM(BD12:BD42))=0)," ",(SUM(BD12:BD42))))</f>
        <v> </v>
      </c>
      <c r="BE44" s="209" t="s">
        <v>150</v>
      </c>
      <c r="BG44" s="212">
        <f>(IF(((SUM(BG12:BG42))=0)," ",(SUM(BG12:BG42))))</f>
        <v>180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37" t="s">
        <v>150</v>
      </c>
      <c r="BR44" s="237" t="s">
        <v>150</v>
      </c>
      <c r="BS44" s="237" t="s">
        <v>150</v>
      </c>
      <c r="BT44" s="104"/>
      <c r="BU44" s="158">
        <v>85</v>
      </c>
      <c r="BV44" s="237" t="s">
        <v>150</v>
      </c>
      <c r="BW44" s="237" t="s">
        <v>150</v>
      </c>
      <c r="BX44" s="155" t="s">
        <v>129</v>
      </c>
      <c r="BY44" s="104"/>
      <c r="BZ44" s="237" t="s">
        <v>150</v>
      </c>
      <c r="CA44" s="157" t="s">
        <v>49</v>
      </c>
      <c r="CB44" s="155" t="s">
        <v>26</v>
      </c>
      <c r="CC44" s="136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3.323</v>
      </c>
      <c r="E45" s="215">
        <f>(IF((SUM(E12:E42))=0," ",(MAX(E12:E42))))</f>
        <v>6.2</v>
      </c>
      <c r="F45" s="216">
        <f>(IF((SUM(F12:F42))=0," ",(MAX(F12:F42))))</f>
        <v>1</v>
      </c>
      <c r="G45" s="215">
        <f>(MAX(G12:G42))</f>
        <v>0</v>
      </c>
      <c r="H45" s="161">
        <f>(IF((SUM(H12:H42))=0," ",(MAX(H12:H42))))</f>
        <v>9400</v>
      </c>
      <c r="I45" s="162">
        <f>(IF((SUM(I12:I42))=0," ",(MAX(I12:I42))))</f>
        <v>10000</v>
      </c>
      <c r="K45" s="179" t="s">
        <v>150</v>
      </c>
      <c r="L45" s="182">
        <f>(IF((SUM(L12:L42))=0," ",(MAX(L12:L42))))</f>
        <v>63</v>
      </c>
      <c r="M45" s="218">
        <f>(IF((SUM(M12:M42))=0," ",(MAX(M12:M42))))</f>
        <v>0.82</v>
      </c>
      <c r="O45" s="219" t="s">
        <v>150</v>
      </c>
      <c r="Q45" s="220" t="s">
        <v>150</v>
      </c>
      <c r="R45" s="183">
        <f>(IF(((SUM(R12:R42))=0),"-",(MAX(R12:R42))))</f>
        <v>0.38</v>
      </c>
      <c r="S45" s="162">
        <f>(IF(((SUM(S12:S42))=0),"-",(MAX(S12:S42))))</f>
        <v>183</v>
      </c>
      <c r="U45" s="221">
        <f>(IF((SUM(U12:U42))=0," ",(MAX(U12:U42))))</f>
        <v>7.19</v>
      </c>
      <c r="V45" s="182">
        <f>(IF((SUM(V12:V42))=0," ",(MAX(V12:V42))))</f>
        <v>7.11</v>
      </c>
      <c r="W45" s="222">
        <f>(IF((SUM(W12:W42))=0," ",(MAX(W12:W42))))</f>
        <v>6.55</v>
      </c>
      <c r="Y45" s="217">
        <f>(IF((SUM(Y12:Y42))=0," ",(MAX(Y12:Y42))))</f>
        <v>15.4</v>
      </c>
      <c r="Z45" s="161">
        <f>(IF((SUM(Z12:Z42))=0," ",(MAX(Z12:Z42))))</f>
        <v>14.7</v>
      </c>
      <c r="AA45" s="162">
        <f>(IF((SUM(AA12:AA42))=0," ",(MAX(AA12:AA42))))</f>
        <v>16</v>
      </c>
      <c r="AC45" s="221">
        <f>(IF((SUM(AC12:AC42))=0," ",(MAX(AC12:AC42))))</f>
        <v>9</v>
      </c>
      <c r="AD45" s="183">
        <f>(IF((SUM(AD12:AD42))=0," ",(MAX(AD12:AD42))))</f>
        <v>0.3</v>
      </c>
      <c r="AE45" s="218">
        <f>(IF((COUNT(AE12:AE42))=0," ",(MAX(AE12:AE42))))</f>
        <v>0.1</v>
      </c>
      <c r="AG45" s="26" t="str">
        <f>($A45)</f>
        <v>Maximum</v>
      </c>
      <c r="AI45" s="161">
        <f aca="true" t="shared" si="9" ref="AI45:AO45">(IF((SUM(AI12:AI42))=0," ",(MAX(AI12:AI42))))</f>
        <v>264</v>
      </c>
      <c r="AJ45" s="161">
        <f t="shared" si="9"/>
        <v>6021.63846</v>
      </c>
      <c r="AK45" s="217">
        <f t="shared" si="9"/>
        <v>160</v>
      </c>
      <c r="AL45" s="162">
        <f t="shared" si="9"/>
        <v>3701.0000999999997</v>
      </c>
      <c r="AM45" s="217">
        <f t="shared" si="9"/>
        <v>25</v>
      </c>
      <c r="AN45" s="162">
        <f t="shared" si="9"/>
        <v>552.3164999999999</v>
      </c>
      <c r="AO45" s="223">
        <f t="shared" si="9"/>
        <v>14</v>
      </c>
      <c r="AQ45" s="217">
        <f aca="true" t="shared" si="10" ref="AQ45:AV45">(IF((SUM(AQ12:AQ42))=0," ",(MAX(AQ12:AQ42))))</f>
        <v>258</v>
      </c>
      <c r="AR45" s="162">
        <f t="shared" si="10"/>
        <v>5699.90628</v>
      </c>
      <c r="AS45" s="217">
        <f t="shared" si="10"/>
        <v>88</v>
      </c>
      <c r="AT45" s="162">
        <f t="shared" si="10"/>
        <v>2053.45812</v>
      </c>
      <c r="AU45" s="217">
        <f t="shared" si="10"/>
        <v>32</v>
      </c>
      <c r="AV45" s="162">
        <f t="shared" si="10"/>
        <v>762.1092</v>
      </c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28</v>
      </c>
      <c r="BC45" s="220" t="s">
        <v>150</v>
      </c>
      <c r="BD45" s="178" t="s">
        <v>150</v>
      </c>
      <c r="BE45" s="218" t="str">
        <f>(IF((SUM(BE12:BE42))=0," ",(MAX(BE12:BE42))))</f>
        <v> </v>
      </c>
      <c r="BG45" s="225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2.575</v>
      </c>
      <c r="E46" s="226">
        <f>(IF((SUM(E12:E42))=0," ",(MIN(E12:E42))))</f>
        <v>3.4</v>
      </c>
      <c r="F46" s="227">
        <f>(IF((SUM(F12:F42))=0," ",(MIN(F12:F42))))</f>
        <v>0.6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46</v>
      </c>
      <c r="M46" s="201">
        <f>(IF((SUM(M12:M42))=0," ",(MIN(M12:M42))))</f>
        <v>0</v>
      </c>
      <c r="O46" s="228" t="s">
        <v>150</v>
      </c>
      <c r="Q46" s="207" t="s">
        <v>150</v>
      </c>
      <c r="R46" s="190">
        <f>(IF(((SUM(R12:R42))=0),"-",(MIN(R12:R42))))</f>
        <v>0.19</v>
      </c>
      <c r="S46" s="195">
        <f>(IF(((SUM(S12:S42))=0),"-",(MIN(S12:S42))))</f>
        <v>2</v>
      </c>
      <c r="U46" s="229">
        <f>(IF((SUM(U12:U42))=0," ",(MIN(U12:U42))))</f>
        <v>6.8</v>
      </c>
      <c r="V46" s="191">
        <f>(IF((SUM(V12:V42))=0," ",(MIN(V12:V42))))</f>
        <v>6.61</v>
      </c>
      <c r="W46" s="211">
        <f>(IF((SUM(W12:W42))=0," ",(MIN(W12:W42))))</f>
        <v>6.22</v>
      </c>
      <c r="Y46" s="198">
        <f aca="true" t="shared" si="11" ref="Y46:AD46">(IF((SUM(Y12:Y42))=0," ",(MIN(Y12:Y42))))</f>
        <v>11.2</v>
      </c>
      <c r="Z46" s="188">
        <f t="shared" si="11"/>
        <v>11.3</v>
      </c>
      <c r="AA46" s="195">
        <f t="shared" si="11"/>
        <v>12.2</v>
      </c>
      <c r="AB46" t="str">
        <f t="shared" si="11"/>
        <v> </v>
      </c>
      <c r="AC46" s="229">
        <f t="shared" si="11"/>
        <v>1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192</v>
      </c>
      <c r="AJ46" s="188">
        <f t="shared" si="12"/>
        <v>4843.471680000001</v>
      </c>
      <c r="AK46" s="198">
        <f t="shared" si="12"/>
        <v>148</v>
      </c>
      <c r="AL46" s="195">
        <f t="shared" si="12"/>
        <v>3446.2214399999993</v>
      </c>
      <c r="AM46" s="198">
        <f t="shared" si="12"/>
        <v>17</v>
      </c>
      <c r="AN46" s="195">
        <f t="shared" si="12"/>
        <v>370.89648</v>
      </c>
      <c r="AO46" s="230">
        <f t="shared" si="12"/>
        <v>11</v>
      </c>
      <c r="AQ46" s="198">
        <f aca="true" t="shared" si="13" ref="AQ46:AV46">(IF((SUM(AQ12:AQ42))=0," ",(MIN(AQ12:AQ42))))</f>
        <v>196</v>
      </c>
      <c r="AR46" s="195">
        <f t="shared" si="13"/>
        <v>4679.97432</v>
      </c>
      <c r="AS46" s="198">
        <f t="shared" si="13"/>
        <v>80</v>
      </c>
      <c r="AT46" s="195">
        <f t="shared" si="13"/>
        <v>1930.0428000000002</v>
      </c>
      <c r="AU46" s="198">
        <f t="shared" si="13"/>
        <v>22</v>
      </c>
      <c r="AV46" s="195">
        <f t="shared" si="13"/>
        <v>508.13118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26</v>
      </c>
      <c r="BC46" s="207" t="s">
        <v>150</v>
      </c>
      <c r="BD46" s="208" t="s">
        <v>150</v>
      </c>
      <c r="BE46" s="201" t="str">
        <f>(IF((SUM(BE12:BE42))=0," ",(MIN(BE12:BE42))))</f>
        <v> </v>
      </c>
      <c r="BG46" s="231" t="s">
        <v>150</v>
      </c>
      <c r="BH46" s="213" t="s">
        <v>150</v>
      </c>
      <c r="BI46" s="214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2.8078064516129038</v>
      </c>
      <c r="E47" s="215">
        <f>(IF((SUM(E12:E42))=0," ",(AVERAGE(E12:E42))))</f>
        <v>4.461290322580646</v>
      </c>
      <c r="F47" s="216">
        <f>(IF((SUM(F12:F42))=0," ",(AVERAGE(F12:F42))))</f>
        <v>0.7677419354838709</v>
      </c>
      <c r="G47" s="215" t="str">
        <f>(IF((SUM(G12:G42))=0,"0.000",(AVERAGE(G12:G42))))</f>
        <v>0.000</v>
      </c>
      <c r="H47" s="161">
        <f>(IF((SUM(H12:H42))=0," ",(AVERAGE(H12:H42))))</f>
        <v>2641.935483870968</v>
      </c>
      <c r="I47" s="162">
        <f>(IF((SUM(I12:I42))=0," ",(AVERAGE(I12:I42))))</f>
        <v>5701.612903225807</v>
      </c>
      <c r="K47" s="179" t="s">
        <v>150</v>
      </c>
      <c r="L47" s="182">
        <f>(IF((SUM(L12:L42))=0," ",(AVERAGE(L12:L42))))</f>
        <v>53.806451612903224</v>
      </c>
      <c r="M47" s="218">
        <f>(IF((SUM(M12:M42))=0," ",(AVERAGE(M12:M42))))</f>
        <v>0.14322580645161292</v>
      </c>
      <c r="O47" s="219" t="s">
        <v>150</v>
      </c>
      <c r="Q47" s="217">
        <f>(IF((SUM(Q12:Q42))=0," ",(AVERAGE(Q12:Q42))))</f>
        <v>19.833333333333332</v>
      </c>
      <c r="R47" s="232" t="s">
        <v>150</v>
      </c>
      <c r="S47" s="233" t="s">
        <v>150</v>
      </c>
      <c r="U47" s="221">
        <f>(IF((SUM(U12:U42))=0," ",(AVERAGE(U12:U42))))</f>
        <v>7.001612903225806</v>
      </c>
      <c r="V47" s="182">
        <f>(IF((SUM(V12:V42))=0," ",(AVERAGE(V12:V42))))</f>
        <v>6.932903225806452</v>
      </c>
      <c r="W47" s="222">
        <f>(IF((SUM(W12:W42))=0," ",(AVERAGE(W12:W42))))</f>
        <v>6.401290322580645</v>
      </c>
      <c r="Y47" s="217">
        <f>(IF((SUM(Y12:Y42))=0," ",(AVERAGE(Y12:Y42))))</f>
        <v>12.83548387096774</v>
      </c>
      <c r="Z47" s="161">
        <f>(IF((SUM(Z12:Z42))=0," ",(AVERAGE(Z12:Z42))))</f>
        <v>12.770967741935483</v>
      </c>
      <c r="AA47" s="162">
        <f>(IF((SUM(AA12:AA42))=0," ",(AVERAGE(AA12:AA42))))</f>
        <v>13.932258064516128</v>
      </c>
      <c r="AC47" s="221">
        <f>(IF((SUM(AC12:AC42))=0," ",(AVERAGE(AC12:AC42))))</f>
        <v>4.967741935483871</v>
      </c>
      <c r="AD47" s="183">
        <f>(IF((SUM(AD12:AD42))=0," ",(AVERAGE(AD12:AD42))))</f>
        <v>0.04193548387096775</v>
      </c>
      <c r="AE47" s="218">
        <f>(IF((COUNT(AE12:AE42))=0," ",(AVERAGE(AE12:AE42))))</f>
        <v>0.005806451612903226</v>
      </c>
      <c r="AG47" s="26" t="str">
        <f>($A47)</f>
        <v>Average</v>
      </c>
      <c r="AI47" s="161">
        <f aca="true" t="shared" si="14" ref="AI47:AO47">(IF((SUM(AI12:AI42))=0," ",(AVERAGE(AI12:AI42))))</f>
        <v>231.45454545454547</v>
      </c>
      <c r="AJ47" s="161">
        <f t="shared" si="14"/>
        <v>5509.557910909091</v>
      </c>
      <c r="AK47" s="217">
        <f t="shared" si="14"/>
        <v>153</v>
      </c>
      <c r="AL47" s="162">
        <f t="shared" si="14"/>
        <v>3574.488555</v>
      </c>
      <c r="AM47" s="217">
        <f t="shared" si="14"/>
        <v>18.916666666666668</v>
      </c>
      <c r="AN47" s="162">
        <f t="shared" si="14"/>
        <v>449.02143</v>
      </c>
      <c r="AO47" s="223">
        <f t="shared" si="14"/>
        <v>12.166666666666666</v>
      </c>
      <c r="AQ47" s="217">
        <f aca="true" t="shared" si="15" ref="AQ47:AV47">(IF((SUM(AQ12:AQ42))=0," ",(AVERAGE(AQ12:AQ42))))</f>
        <v>218.36363636363637</v>
      </c>
      <c r="AR47" s="162">
        <f t="shared" si="15"/>
        <v>5203.198625454545</v>
      </c>
      <c r="AS47" s="217">
        <f t="shared" si="15"/>
        <v>85.25</v>
      </c>
      <c r="AT47" s="162">
        <f t="shared" si="15"/>
        <v>1991.5377899999999</v>
      </c>
      <c r="AU47" s="217">
        <f t="shared" si="15"/>
        <v>26.833333333333332</v>
      </c>
      <c r="AV47" s="162">
        <f t="shared" si="15"/>
        <v>638.83288</v>
      </c>
      <c r="AX47" s="217">
        <f aca="true" t="shared" si="16" ref="AX47:BE47">(IF((SUM(AX12:AX42))=0," ",(AVERAGE(AX12:AX42))))</f>
        <v>40491.8</v>
      </c>
      <c r="AY47" s="182">
        <f t="shared" si="16"/>
        <v>3.1</v>
      </c>
      <c r="AZ47" s="222">
        <f t="shared" si="16"/>
        <v>3.7</v>
      </c>
      <c r="BA47" s="217">
        <f t="shared" si="16"/>
        <v>27.9</v>
      </c>
      <c r="BB47" s="222">
        <f t="shared" si="16"/>
        <v>27.1</v>
      </c>
      <c r="BC47" s="217">
        <f t="shared" si="16"/>
        <v>18</v>
      </c>
      <c r="BD47" s="161" t="str">
        <f t="shared" si="16"/>
        <v> </v>
      </c>
      <c r="BE47" s="218" t="str">
        <f t="shared" si="16"/>
        <v> </v>
      </c>
      <c r="BG47" s="132">
        <f>(IF((SUM(BG12:BG42))=0," ",(AVERAGE(BG12:BG42))))</f>
        <v>18</v>
      </c>
      <c r="BH47" s="180" t="s">
        <v>150</v>
      </c>
      <c r="BI47" s="181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62" t="s">
        <v>203</v>
      </c>
      <c r="BR48" s="238" t="s">
        <v>150</v>
      </c>
      <c r="BS48" s="262" t="s">
        <v>203</v>
      </c>
      <c r="BT48" s="104"/>
      <c r="BU48" s="238" t="s">
        <v>150</v>
      </c>
      <c r="BV48" s="143">
        <f>(S49)</f>
        <v>11.117875280252834</v>
      </c>
      <c r="BW48" s="143">
        <f>(S45)</f>
        <v>183</v>
      </c>
      <c r="BX48" s="238" t="s">
        <v>150</v>
      </c>
      <c r="BY48" s="104"/>
      <c r="BZ48" s="104">
        <v>0</v>
      </c>
      <c r="CA48" s="148" t="s">
        <v>205</v>
      </c>
      <c r="CB48" s="104" t="s">
        <v>23</v>
      </c>
      <c r="CC48" s="27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18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>
        <f>(IF(((SUM(S12:S42))=0),"-",(GEOMEAN(S12:S42))))</f>
        <v>11.117875280252834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91.85013684834996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87.71162919789064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6"/>
      <c r="BL49" s="291"/>
      <c r="BM49" s="104" t="s">
        <v>86</v>
      </c>
      <c r="BN49" s="240"/>
      <c r="BO49" s="292" t="s">
        <v>131</v>
      </c>
      <c r="BP49" s="240"/>
      <c r="BQ49" s="261" t="s">
        <v>203</v>
      </c>
      <c r="BR49" s="237" t="s">
        <v>150</v>
      </c>
      <c r="BS49" s="261" t="s">
        <v>203</v>
      </c>
      <c r="BT49" s="104"/>
      <c r="BU49" s="237" t="s">
        <v>150</v>
      </c>
      <c r="BV49" s="156">
        <v>142</v>
      </c>
      <c r="BW49" s="156">
        <v>949</v>
      </c>
      <c r="BX49" s="263" t="s">
        <v>204</v>
      </c>
      <c r="BY49" s="104"/>
      <c r="BZ49" s="237" t="s">
        <v>150</v>
      </c>
      <c r="CA49" s="160" t="s">
        <v>205</v>
      </c>
      <c r="CB49" s="155" t="s">
        <v>23</v>
      </c>
      <c r="CC49" s="293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287"/>
      <c r="R50" s="287"/>
      <c r="S50" s="287"/>
      <c r="T50" s="281"/>
      <c r="U50" s="287"/>
      <c r="V50" s="287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6"/>
      <c r="BL50" s="294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6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8"/>
      <c r="R51" s="288"/>
      <c r="S51" s="288"/>
      <c r="T51" s="281"/>
      <c r="U51" s="287"/>
      <c r="V51" s="287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6"/>
      <c r="AJ52" s="286"/>
      <c r="AK52" s="286"/>
      <c r="AL52" s="286"/>
      <c r="AM52" s="286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302"/>
      <c r="BM52" s="303"/>
      <c r="BN52" s="303"/>
      <c r="BO52" s="303"/>
      <c r="BP52" s="303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5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4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6"/>
      <c r="AJ53" s="286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91"/>
      <c r="BM53" s="240" t="s">
        <v>206</v>
      </c>
      <c r="BN53" s="240"/>
      <c r="BO53" s="297" t="s">
        <v>130</v>
      </c>
      <c r="BP53" s="240"/>
      <c r="BQ53" s="262" t="s">
        <v>203</v>
      </c>
      <c r="BR53" s="238" t="s">
        <v>150</v>
      </c>
      <c r="BS53" s="262" t="s">
        <v>203</v>
      </c>
      <c r="BT53" s="104"/>
      <c r="BU53" s="238" t="s">
        <v>150</v>
      </c>
      <c r="BV53" s="238" t="s">
        <v>150</v>
      </c>
      <c r="BW53" s="146">
        <f>(R45)</f>
        <v>0.38</v>
      </c>
      <c r="BX53" s="238" t="s">
        <v>150</v>
      </c>
      <c r="BY53" s="104"/>
      <c r="BZ53" s="104">
        <v>0</v>
      </c>
      <c r="CA53" s="148" t="s">
        <v>207</v>
      </c>
      <c r="CB53" s="104" t="s">
        <v>23</v>
      </c>
      <c r="CC53" s="293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4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91"/>
      <c r="BM54" s="104" t="s">
        <v>86</v>
      </c>
      <c r="BN54" s="240"/>
      <c r="BO54" s="292" t="s">
        <v>131</v>
      </c>
      <c r="BP54" s="240"/>
      <c r="BQ54" s="261" t="s">
        <v>203</v>
      </c>
      <c r="BR54" s="237" t="s">
        <v>150</v>
      </c>
      <c r="BS54" s="261" t="s">
        <v>203</v>
      </c>
      <c r="BT54" s="104"/>
      <c r="BU54" s="237" t="s">
        <v>150</v>
      </c>
      <c r="BV54" s="237" t="s">
        <v>150</v>
      </c>
      <c r="BW54" s="263">
        <v>0.86</v>
      </c>
      <c r="BX54" s="263" t="s">
        <v>44</v>
      </c>
      <c r="BY54" s="104"/>
      <c r="BZ54" s="237" t="s">
        <v>150</v>
      </c>
      <c r="CA54" s="157" t="s">
        <v>207</v>
      </c>
      <c r="CB54" s="155" t="s">
        <v>23</v>
      </c>
      <c r="CC54" s="293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4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94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6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4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4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1"/>
      <c r="K57" s="282"/>
      <c r="L57" s="282"/>
      <c r="M57" s="282"/>
      <c r="N57" s="281"/>
      <c r="O57" s="282"/>
      <c r="P57" s="281"/>
      <c r="Q57" s="286"/>
      <c r="R57" s="286"/>
      <c r="S57" s="286"/>
      <c r="T57" s="281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4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1"/>
      <c r="K58" s="282"/>
      <c r="L58" s="282"/>
      <c r="M58" s="282"/>
      <c r="N58" s="281"/>
      <c r="O58" s="282"/>
      <c r="P58" s="281"/>
      <c r="Q58" s="286"/>
      <c r="R58" s="286"/>
      <c r="S58" s="286"/>
      <c r="T58" s="281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4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1"/>
      <c r="K59" s="282"/>
      <c r="L59" s="282"/>
      <c r="M59" s="282"/>
      <c r="N59" s="282"/>
      <c r="O59" s="282"/>
      <c r="P59" s="306"/>
      <c r="Q59" s="286"/>
      <c r="R59" s="286"/>
      <c r="S59" s="286"/>
      <c r="T59" s="307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4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1"/>
      <c r="K60" s="282"/>
      <c r="L60" s="282"/>
      <c r="M60" s="282"/>
      <c r="N60" s="282"/>
      <c r="O60" s="282"/>
      <c r="P60" s="306"/>
      <c r="Q60" s="282"/>
      <c r="R60" s="282"/>
      <c r="S60" s="282"/>
      <c r="T60" s="306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4"/>
    </row>
    <row r="61" spans="16:93" ht="15" customHeight="1">
      <c r="P61" s="278"/>
      <c r="T61" s="278"/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16:93" ht="15" customHeight="1">
      <c r="P62" s="278"/>
      <c r="T62" s="278"/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16:93" ht="15" customHeight="1">
      <c r="P63" s="278"/>
      <c r="T63" s="278"/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16:93" ht="15" customHeight="1">
      <c r="P64" s="278"/>
      <c r="T64" s="278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16:93" ht="15" customHeight="1">
      <c r="P65" s="278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/>
  <mergeCells count="32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Q12:Q24"/>
    <mergeCell ref="R12:R24"/>
    <mergeCell ref="S12:S24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55" r:id="rId1"/>
  <colBreaks count="2" manualBreakCount="2">
    <brk id="32" max="55" man="1"/>
    <brk id="62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0" customWidth="1"/>
    <col min="2" max="2" width="2.7109375" style="0" customWidth="1"/>
    <col min="3" max="3" width="10.7109375" style="0" customWidth="1"/>
    <col min="4" max="9" width="9.7109375" style="0" customWidth="1"/>
    <col min="10" max="10" width="2.7109375" style="0" customWidth="1"/>
    <col min="11" max="13" width="8.7109375" style="0" customWidth="1"/>
    <col min="14" max="14" width="2.7109375" style="0" customWidth="1"/>
    <col min="15" max="15" width="8.7109375" style="0" customWidth="1"/>
    <col min="16" max="16" width="2.7109375" style="0" customWidth="1"/>
    <col min="17" max="19" width="9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3.7109375" style="0" customWidth="1"/>
    <col min="33" max="33" width="10.7109375" style="0" customWidth="1"/>
    <col min="34" max="34" width="2.7109375" style="0" customWidth="1"/>
    <col min="35" max="41" width="8.7109375" style="0" customWidth="1"/>
    <col min="42" max="42" width="2.7109375" style="0" customWidth="1"/>
    <col min="43" max="48" width="8.7109375" style="0" customWidth="1"/>
    <col min="49" max="49" width="2.7109375" style="0" customWidth="1"/>
    <col min="50" max="50" width="9.7109375" style="0" customWidth="1"/>
    <col min="51" max="51" width="8.7109375" style="0" customWidth="1"/>
    <col min="52" max="52" width="9.7109375" style="0" customWidth="1"/>
    <col min="53" max="54" width="8.7109375" style="0" customWidth="1"/>
    <col min="55" max="55" width="9.7109375" style="0" customWidth="1"/>
    <col min="56" max="57" width="8.7109375" style="0" customWidth="1"/>
    <col min="58" max="58" width="2.7109375" style="0" customWidth="1"/>
    <col min="59" max="59" width="9.7109375" style="0" customWidth="1"/>
    <col min="60" max="61" width="12.7109375" style="0" customWidth="1"/>
    <col min="62" max="62" width="3.7109375" style="0" customWidth="1"/>
    <col min="64" max="64" width="2.7109375" style="0" customWidth="1"/>
    <col min="65" max="65" width="12.7109375" style="0" customWidth="1"/>
    <col min="66" max="66" width="3.7109375" style="0" customWidth="1"/>
    <col min="67" max="67" width="10.7109375" style="0" customWidth="1"/>
    <col min="68" max="68" width="3.7109375" style="0" customWidth="1"/>
    <col min="69" max="71" width="10.7109375" style="0" customWidth="1"/>
    <col min="72" max="72" width="3.7109375" style="0" customWidth="1"/>
    <col min="73" max="76" width="10.7109375" style="0" customWidth="1"/>
    <col min="77" max="77" width="3.7109375" style="0" customWidth="1"/>
    <col min="78" max="80" width="10.7109375" style="0" customWidth="1"/>
    <col min="81" max="81" width="2.7109375" style="0" customWidth="1"/>
    <col min="82" max="82" width="12.7109375" style="0" customWidth="1"/>
    <col min="83" max="83" width="2.7109375" style="0" customWidth="1"/>
    <col min="84" max="86" width="9.7109375" style="0" customWidth="1"/>
    <col min="87" max="87" width="3.7109375" style="0" customWidth="1"/>
    <col min="88" max="89" width="9.7109375" style="0" customWidth="1"/>
    <col min="90" max="90" width="3.7109375" style="0" customWidth="1"/>
    <col min="91" max="91" width="20.7109375" style="0" customWidth="1"/>
    <col min="92" max="92" width="2.7109375" style="0" customWidth="1"/>
    <col min="93" max="93" width="3.7109375" style="0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1"/>
      <c r="CQ1" s="1"/>
      <c r="CR1" s="1"/>
      <c r="CS1" s="4"/>
      <c r="CT1" s="4"/>
      <c r="CU1" s="4"/>
      <c r="CV1" s="4"/>
      <c r="CW1" s="4"/>
      <c r="CX1" s="4"/>
      <c r="CY1" s="4"/>
      <c r="CZ1" s="4"/>
    </row>
    <row r="2" spans="1:104" ht="24" customHeight="1">
      <c r="A2" s="6" t="s">
        <v>147</v>
      </c>
      <c r="C2" s="9"/>
      <c r="D2" s="9"/>
      <c r="E2" s="10" t="s">
        <v>191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June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June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1"/>
      <c r="CQ2" s="1"/>
      <c r="CR2" s="1"/>
      <c r="CS2" s="4"/>
      <c r="CT2" s="4"/>
      <c r="CU2" s="4"/>
      <c r="CV2" s="4"/>
      <c r="CW2" s="4"/>
      <c r="CX2" s="4"/>
      <c r="CY2" s="4"/>
      <c r="CZ2" s="4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Q3" s="2"/>
      <c r="CR3" s="2"/>
      <c r="CS3" s="4"/>
      <c r="CT3" s="4"/>
      <c r="CU3" s="4"/>
      <c r="CV3" s="4"/>
      <c r="CW3" s="4"/>
      <c r="CX3" s="4"/>
      <c r="CY3" s="4"/>
      <c r="CZ3" s="4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Q4" s="2"/>
      <c r="CR4" s="2"/>
      <c r="CS4" s="4"/>
      <c r="CT4" s="4"/>
      <c r="CU4" s="4"/>
      <c r="CV4" s="4"/>
      <c r="CW4" s="4"/>
      <c r="CX4" s="4"/>
      <c r="CY4" s="4"/>
      <c r="CZ4" s="4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2"/>
      <c r="CQ5" s="2"/>
      <c r="CR5" s="2"/>
      <c r="CS5" s="4"/>
      <c r="CT5" s="4"/>
      <c r="CU5" s="4"/>
      <c r="CV5" s="4"/>
      <c r="CW5" s="4"/>
      <c r="CX5" s="4"/>
      <c r="CY5" s="4"/>
      <c r="CZ5" s="4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3"/>
      <c r="CQ6" s="3"/>
      <c r="CR6" s="3"/>
      <c r="CS6" s="4"/>
      <c r="CT6" s="4"/>
      <c r="CU6" s="4"/>
      <c r="CV6" s="4"/>
      <c r="CW6" s="4"/>
      <c r="CX6" s="4"/>
      <c r="CY6" s="4"/>
      <c r="CZ6" s="4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3"/>
      <c r="CQ7" s="3"/>
      <c r="CR7" s="3"/>
      <c r="CS7" s="4"/>
      <c r="CT7" s="4"/>
      <c r="CU7" s="4"/>
      <c r="CV7" s="4"/>
      <c r="CW7" s="4"/>
      <c r="CX7" s="4"/>
      <c r="CY7" s="4"/>
      <c r="CZ7" s="4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3"/>
      <c r="CQ8" s="3"/>
      <c r="CR8" s="3"/>
      <c r="CS8" s="4"/>
      <c r="CT8" s="4"/>
      <c r="CU8" s="4"/>
      <c r="CV8" s="4"/>
      <c r="CW8" s="4"/>
      <c r="CX8" s="4"/>
      <c r="CY8" s="4"/>
      <c r="CZ8" s="4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3"/>
      <c r="CQ9" s="3"/>
      <c r="CR9" s="3"/>
      <c r="CS9" s="4"/>
      <c r="CT9" s="4"/>
      <c r="CU9" s="4"/>
      <c r="CV9" s="4"/>
      <c r="CW9" s="4"/>
      <c r="CX9" s="4"/>
      <c r="CY9" s="4"/>
      <c r="CZ9" s="4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5"/>
      <c r="CQ10" s="5"/>
      <c r="CR10" s="3"/>
      <c r="CS10" s="4"/>
      <c r="CT10" s="4"/>
      <c r="CU10" s="4"/>
      <c r="CV10" s="4"/>
      <c r="CW10" s="4"/>
      <c r="CX10" s="4"/>
      <c r="CY10" s="4"/>
      <c r="CZ10" s="4"/>
    </row>
    <row r="11" spans="1:104" ht="18" customHeight="1">
      <c r="A11" s="22"/>
      <c r="C11" s="150">
        <v>2804572</v>
      </c>
      <c r="D11" s="42"/>
      <c r="E11" s="43"/>
      <c r="F11" s="43"/>
      <c r="G11" s="43"/>
      <c r="H11" s="43"/>
      <c r="I11" s="43"/>
      <c r="K11" s="43"/>
      <c r="L11" s="43"/>
      <c r="M11" s="43"/>
      <c r="O11" s="43"/>
      <c r="Q11" s="44"/>
      <c r="R11" s="44"/>
      <c r="S11" s="44"/>
      <c r="U11" s="44"/>
      <c r="V11" s="44"/>
      <c r="W11" s="44"/>
      <c r="Y11" s="44"/>
      <c r="Z11" s="44"/>
      <c r="AA11" s="44"/>
      <c r="AC11" s="44"/>
      <c r="AD11" s="44"/>
      <c r="AE11" s="44"/>
      <c r="AG11" s="45"/>
      <c r="AI11" s="46"/>
      <c r="AJ11" s="46"/>
      <c r="AK11" s="46"/>
      <c r="AL11" s="46"/>
      <c r="AM11" s="46"/>
      <c r="AN11" s="46"/>
      <c r="AO11" s="46"/>
      <c r="AQ11" s="46"/>
      <c r="AR11" s="46"/>
      <c r="AS11" s="46"/>
      <c r="AT11" s="46"/>
      <c r="AU11" s="46"/>
      <c r="AV11" s="46"/>
      <c r="AX11" s="46"/>
      <c r="AY11" s="47"/>
      <c r="AZ11" s="47"/>
      <c r="BA11" s="46"/>
      <c r="BB11" s="47"/>
      <c r="BC11" s="46"/>
      <c r="BD11" s="46"/>
      <c r="BE11" s="48"/>
      <c r="BG11" s="46"/>
      <c r="BH11" s="43"/>
      <c r="BI11" s="43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3"/>
      <c r="CQ11" s="3"/>
      <c r="CR11" s="3"/>
      <c r="CS11" s="4"/>
      <c r="CT11" s="4"/>
      <c r="CU11" s="4"/>
      <c r="CV11" s="4"/>
      <c r="CW11" s="4"/>
      <c r="CX11" s="4"/>
      <c r="CY11" s="4"/>
      <c r="CZ11" s="4"/>
    </row>
    <row r="12" spans="1:104" ht="18" customHeight="1">
      <c r="A12" s="22">
        <v>1</v>
      </c>
      <c r="C12" s="84">
        <v>2807270</v>
      </c>
      <c r="D12" s="137">
        <f aca="true" t="shared" si="0" ref="D12:D42">(IF(C12=0," ",((C12-C11)/1000)))</f>
        <v>2.698</v>
      </c>
      <c r="E12" s="139">
        <v>4</v>
      </c>
      <c r="F12" s="140">
        <v>0.8</v>
      </c>
      <c r="G12" s="81" t="str">
        <f>(IF(C12=0," ","0.00"))</f>
        <v>0.00</v>
      </c>
      <c r="H12" s="84">
        <v>2300</v>
      </c>
      <c r="I12" s="85">
        <v>10000</v>
      </c>
      <c r="K12" s="86" t="s">
        <v>208</v>
      </c>
      <c r="L12" s="84">
        <v>48</v>
      </c>
      <c r="M12" s="87">
        <v>0.15</v>
      </c>
      <c r="O12" s="88"/>
      <c r="Q12" s="107">
        <v>16</v>
      </c>
      <c r="R12" s="152">
        <v>0.28</v>
      </c>
      <c r="S12" s="91">
        <v>5</v>
      </c>
      <c r="U12" s="92">
        <v>7</v>
      </c>
      <c r="V12" s="93">
        <v>6.9</v>
      </c>
      <c r="W12" s="94">
        <v>6.47</v>
      </c>
      <c r="Y12" s="89">
        <v>13.6</v>
      </c>
      <c r="Z12" s="95">
        <v>13.1</v>
      </c>
      <c r="AA12" s="91">
        <v>14.1</v>
      </c>
      <c r="AC12" s="92">
        <v>6.5</v>
      </c>
      <c r="AD12" s="90">
        <v>0.1</v>
      </c>
      <c r="AE12" s="96">
        <v>0.01</v>
      </c>
      <c r="AG12" s="45">
        <f aca="true" t="shared" si="1" ref="AG12:AG42">($A12)</f>
        <v>1</v>
      </c>
      <c r="AH12" s="281"/>
      <c r="AI12" s="97"/>
      <c r="AJ12" s="55">
        <f aca="true" t="shared" si="2" ref="AJ12:AJ42">IF(AI12=0,"",(D12*AI12*8.34))</f>
      </c>
      <c r="AK12" s="97"/>
      <c r="AL12" s="55">
        <f aca="true" t="shared" si="3" ref="AL12:AL42">IF(AK12=0,"",(D12*AK12*8.34))</f>
      </c>
      <c r="AM12" s="97"/>
      <c r="AN12" s="55">
        <f aca="true" t="shared" si="4" ref="AN12:AN42">IF(AM12=0,"",(D12*AM12*8.34))</f>
      </c>
      <c r="AO12" s="98"/>
      <c r="AQ12" s="99"/>
      <c r="AR12" s="55">
        <f aca="true" t="shared" si="5" ref="AR12:AR42">IF(AQ12=0,"",(D12*AQ12*8.34))</f>
      </c>
      <c r="AS12" s="97"/>
      <c r="AT12" s="55">
        <f aca="true" t="shared" si="6" ref="AT12:AT42">IF(AS12=0,"",(D12*AS12*8.34))</f>
      </c>
      <c r="AU12" s="97"/>
      <c r="AV12" s="55">
        <f aca="true" t="shared" si="7" ref="AV12:AV42">IF(AU12=0,"",(D12*AU12*8.34))</f>
      </c>
      <c r="AX12" s="99">
        <v>56418</v>
      </c>
      <c r="AY12" s="100">
        <v>2</v>
      </c>
      <c r="AZ12" s="101">
        <v>3.75</v>
      </c>
      <c r="BA12" s="97">
        <v>34.1</v>
      </c>
      <c r="BB12" s="101">
        <v>28</v>
      </c>
      <c r="BC12" s="97">
        <v>24</v>
      </c>
      <c r="BD12" s="97"/>
      <c r="BE12" s="102"/>
      <c r="BG12" s="99">
        <v>24</v>
      </c>
      <c r="BH12" s="83" t="s">
        <v>210</v>
      </c>
      <c r="BI12" s="103" t="s">
        <v>211</v>
      </c>
      <c r="BK12" s="17"/>
      <c r="BL12" s="19"/>
      <c r="BM12" s="56" t="s">
        <v>117</v>
      </c>
      <c r="BN12" s="20"/>
      <c r="BO12" s="57" t="s">
        <v>130</v>
      </c>
      <c r="BP12" s="26"/>
      <c r="BQ12" s="149">
        <f>(IF(((SUM(AN12:AN42))=0)," ",(AVERAGE(AN12:AN42))))</f>
        <v>362.5032323076923</v>
      </c>
      <c r="BR12" s="149">
        <f>MAX(AN12:AN42)</f>
        <v>463.87080000000003</v>
      </c>
      <c r="BS12" s="104" t="s">
        <v>126</v>
      </c>
      <c r="BT12" s="104"/>
      <c r="BU12" s="149">
        <f>(IF(((SUM(AM12:AM42))=0)," ",(AVERAGE(AM12:AM42))))</f>
        <v>17.153846153846153</v>
      </c>
      <c r="BV12" s="143">
        <f>(CG23)</f>
        <v>18.333333333333332</v>
      </c>
      <c r="BW12" s="149">
        <f>MAX(AM12:AM42)</f>
        <v>20</v>
      </c>
      <c r="BX12" s="104" t="s">
        <v>128</v>
      </c>
      <c r="BY12" s="104"/>
      <c r="BZ12" s="104">
        <v>0</v>
      </c>
      <c r="CA12" s="144" t="s">
        <v>47</v>
      </c>
      <c r="CB12" s="104">
        <v>24</v>
      </c>
      <c r="CC12" s="136"/>
      <c r="CE12" s="24"/>
      <c r="CF12" s="20" t="s">
        <v>138</v>
      </c>
      <c r="CG12" s="105">
        <f>(IF(((SUM(AM12:AM18))=0)," ",(AVERAGE(AM12:AM18))))</f>
        <v>17.666666666666668</v>
      </c>
      <c r="CH12" s="105">
        <f>(IF(((SUM(AN12:AN18))=0)," ",(AVERAGE(AN12:AN18))))</f>
        <v>413.17750000000007</v>
      </c>
      <c r="CI12" s="105"/>
      <c r="CJ12" s="105">
        <f>(IF(((SUM(AU12:AU18))=0)," ",(AVERAGE(AU12:AU18))))</f>
        <v>25.666666666666668</v>
      </c>
      <c r="CK12" s="105">
        <f>(IF(((SUM(AV12:AV18))=0)," ",(AVERAGE(AV12:AV18))))</f>
        <v>600.65236</v>
      </c>
      <c r="CL12" s="239"/>
      <c r="CM12" s="151">
        <f>(AVERAGE(AE12:AE16))</f>
        <v>0.002</v>
      </c>
      <c r="CN12" s="59"/>
      <c r="CP12" s="3"/>
      <c r="CQ12" s="3" t="s">
        <v>149</v>
      </c>
      <c r="CR12" s="3"/>
      <c r="CS12" s="4"/>
      <c r="CT12" s="4"/>
      <c r="CU12" s="4"/>
      <c r="CV12" s="4"/>
      <c r="CW12" s="4"/>
      <c r="CX12" s="4"/>
      <c r="CY12" s="4"/>
      <c r="CZ12" s="4"/>
    </row>
    <row r="13" spans="1:104" ht="18" customHeight="1">
      <c r="A13" s="22">
        <v>2</v>
      </c>
      <c r="C13" s="84">
        <v>2810051</v>
      </c>
      <c r="D13" s="137">
        <f t="shared" si="0"/>
        <v>2.781</v>
      </c>
      <c r="E13" s="139">
        <v>4.4</v>
      </c>
      <c r="F13" s="140">
        <v>0.8</v>
      </c>
      <c r="G13" s="81" t="str">
        <f aca="true" t="shared" si="8" ref="G13:G42">(IF(C13=0," ","0.00"))</f>
        <v>0.00</v>
      </c>
      <c r="H13" s="84">
        <v>3700</v>
      </c>
      <c r="I13" s="85">
        <v>9500</v>
      </c>
      <c r="K13" s="86" t="s">
        <v>208</v>
      </c>
      <c r="L13" s="84">
        <v>51</v>
      </c>
      <c r="M13" s="87">
        <v>0.08</v>
      </c>
      <c r="O13" s="106"/>
      <c r="Q13" s="107">
        <v>17</v>
      </c>
      <c r="R13" s="152">
        <v>0.34</v>
      </c>
      <c r="S13" s="108">
        <v>5</v>
      </c>
      <c r="U13" s="92">
        <v>6.88</v>
      </c>
      <c r="V13" s="93">
        <v>6.9</v>
      </c>
      <c r="W13" s="94">
        <v>6.49</v>
      </c>
      <c r="Y13" s="89">
        <v>13.3</v>
      </c>
      <c r="Z13" s="95">
        <v>12.9</v>
      </c>
      <c r="AA13" s="91">
        <v>13.9</v>
      </c>
      <c r="AC13" s="92">
        <v>5</v>
      </c>
      <c r="AD13" s="90">
        <v>0.01</v>
      </c>
      <c r="AE13" s="96">
        <v>0</v>
      </c>
      <c r="AG13" s="45">
        <f t="shared" si="1"/>
        <v>2</v>
      </c>
      <c r="AH13" s="281"/>
      <c r="AI13" s="97">
        <v>245</v>
      </c>
      <c r="AJ13" s="55">
        <f t="shared" si="2"/>
        <v>5682.4173</v>
      </c>
      <c r="AK13" s="97"/>
      <c r="AL13" s="55">
        <f t="shared" si="3"/>
      </c>
      <c r="AM13" s="97">
        <v>17</v>
      </c>
      <c r="AN13" s="55">
        <f t="shared" si="4"/>
        <v>394.29018</v>
      </c>
      <c r="AO13" s="109">
        <v>14</v>
      </c>
      <c r="AQ13" s="99">
        <v>218</v>
      </c>
      <c r="AR13" s="55">
        <f t="shared" si="5"/>
        <v>5056.19172</v>
      </c>
      <c r="AS13" s="97"/>
      <c r="AT13" s="55">
        <f t="shared" si="6"/>
      </c>
      <c r="AU13" s="97">
        <v>24</v>
      </c>
      <c r="AV13" s="55">
        <f t="shared" si="7"/>
        <v>556.64496</v>
      </c>
      <c r="AX13" s="99"/>
      <c r="AY13" s="100"/>
      <c r="AZ13" s="101"/>
      <c r="BA13" s="97"/>
      <c r="BB13" s="101"/>
      <c r="BC13" s="97"/>
      <c r="BD13" s="97"/>
      <c r="BE13" s="102"/>
      <c r="BG13" s="99"/>
      <c r="BH13" s="83"/>
      <c r="BI13" s="103"/>
      <c r="BK13" s="17"/>
      <c r="BL13" s="19"/>
      <c r="BM13" s="26" t="s">
        <v>86</v>
      </c>
      <c r="BN13" s="20"/>
      <c r="BO13" s="153" t="s">
        <v>131</v>
      </c>
      <c r="BP13" s="26"/>
      <c r="BQ13" s="236">
        <v>963</v>
      </c>
      <c r="BR13" s="236">
        <v>1605</v>
      </c>
      <c r="BS13" s="155" t="s">
        <v>126</v>
      </c>
      <c r="BT13" s="104"/>
      <c r="BU13" s="236">
        <v>30</v>
      </c>
      <c r="BV13" s="156">
        <v>45</v>
      </c>
      <c r="BW13" s="236">
        <v>50</v>
      </c>
      <c r="BX13" s="155" t="s">
        <v>128</v>
      </c>
      <c r="BY13" s="104"/>
      <c r="BZ13" s="237" t="s">
        <v>150</v>
      </c>
      <c r="CA13" s="157" t="s">
        <v>47</v>
      </c>
      <c r="CB13" s="155">
        <v>24</v>
      </c>
      <c r="CC13" s="136"/>
      <c r="CE13" s="24"/>
      <c r="CF13" s="20"/>
      <c r="CG13" s="105"/>
      <c r="CH13" s="105"/>
      <c r="CI13" s="105"/>
      <c r="CJ13" s="105"/>
      <c r="CK13" s="105"/>
      <c r="CL13" s="239"/>
      <c r="CM13" s="151"/>
      <c r="CN13" s="59"/>
      <c r="CP13" s="3"/>
      <c r="CQ13" s="3"/>
      <c r="CR13" s="3"/>
      <c r="CS13" s="4"/>
      <c r="CT13" s="4"/>
      <c r="CU13" s="4"/>
      <c r="CV13" s="4"/>
      <c r="CW13" s="4"/>
      <c r="CX13" s="4"/>
      <c r="CY13" s="4"/>
      <c r="CZ13" s="4"/>
    </row>
    <row r="14" spans="1:104" ht="18" customHeight="1">
      <c r="A14" s="22">
        <v>3</v>
      </c>
      <c r="C14" s="84">
        <v>2812832</v>
      </c>
      <c r="D14" s="137">
        <f t="shared" si="0"/>
        <v>2.781</v>
      </c>
      <c r="E14" s="139">
        <v>4.5</v>
      </c>
      <c r="F14" s="140">
        <v>0.8</v>
      </c>
      <c r="G14" s="81" t="str">
        <f t="shared" si="8"/>
        <v>0.00</v>
      </c>
      <c r="H14" s="84">
        <v>6350</v>
      </c>
      <c r="I14" s="85">
        <v>8750</v>
      </c>
      <c r="K14" s="86" t="s">
        <v>222</v>
      </c>
      <c r="L14" s="84">
        <v>55</v>
      </c>
      <c r="M14" s="87">
        <v>0.54</v>
      </c>
      <c r="O14" s="106"/>
      <c r="Q14" s="107">
        <v>17</v>
      </c>
      <c r="R14" s="152">
        <v>0.28</v>
      </c>
      <c r="S14" s="108">
        <v>9</v>
      </c>
      <c r="U14" s="92">
        <v>7.03</v>
      </c>
      <c r="V14" s="93">
        <v>6.87</v>
      </c>
      <c r="W14" s="94">
        <v>6.4</v>
      </c>
      <c r="Y14" s="89">
        <v>13.5</v>
      </c>
      <c r="Z14" s="95">
        <v>13.5</v>
      </c>
      <c r="AA14" s="91">
        <v>14.5</v>
      </c>
      <c r="AC14" s="92">
        <v>5</v>
      </c>
      <c r="AD14" s="90">
        <v>0.01</v>
      </c>
      <c r="AE14" s="96">
        <v>0</v>
      </c>
      <c r="AG14" s="45">
        <f t="shared" si="1"/>
        <v>3</v>
      </c>
      <c r="AH14" s="281"/>
      <c r="AI14" s="97">
        <v>230</v>
      </c>
      <c r="AJ14" s="55">
        <f t="shared" si="2"/>
        <v>5334.5142</v>
      </c>
      <c r="AK14" s="97"/>
      <c r="AL14" s="55">
        <f t="shared" si="3"/>
      </c>
      <c r="AM14" s="97">
        <v>20</v>
      </c>
      <c r="AN14" s="55">
        <f t="shared" si="4"/>
        <v>463.87080000000003</v>
      </c>
      <c r="AO14" s="109">
        <v>20</v>
      </c>
      <c r="AQ14" s="99">
        <v>220</v>
      </c>
      <c r="AR14" s="55">
        <f t="shared" si="5"/>
        <v>5102.5788</v>
      </c>
      <c r="AS14" s="97"/>
      <c r="AT14" s="55">
        <f t="shared" si="6"/>
      </c>
      <c r="AU14" s="97">
        <v>28</v>
      </c>
      <c r="AV14" s="55">
        <f t="shared" si="7"/>
        <v>649.41912</v>
      </c>
      <c r="AX14" s="99">
        <v>52059</v>
      </c>
      <c r="AY14" s="100">
        <v>4</v>
      </c>
      <c r="AZ14" s="101">
        <v>3.5</v>
      </c>
      <c r="BA14" s="97">
        <v>37.2</v>
      </c>
      <c r="BB14" s="101">
        <v>26</v>
      </c>
      <c r="BC14" s="97">
        <v>24</v>
      </c>
      <c r="BD14" s="97"/>
      <c r="BE14" s="102"/>
      <c r="BG14" s="99">
        <v>24</v>
      </c>
      <c r="BH14" s="83" t="s">
        <v>210</v>
      </c>
      <c r="BI14" s="103" t="s">
        <v>211</v>
      </c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(IF(((SUM(AM19:AM25))=0)," ",(AVERAGE(AM19:AM25))))</f>
        <v>18.333333333333332</v>
      </c>
      <c r="CH14" s="105">
        <f>(IF(((SUM(AN19:AN25))=0)," ",(AVERAGE(AN19:AN25))))</f>
        <v>404.66792000000004</v>
      </c>
      <c r="CI14" s="105"/>
      <c r="CJ14" s="105">
        <f>(IF(((SUM(AU19:AU25))=0)," ",(AVERAGE(AU19:AU25))))</f>
        <v>24.666666666666668</v>
      </c>
      <c r="CK14" s="105">
        <f>(IF(((SUM(AV19:AV25))=0)," ",(AVERAGE(AV19:AV25))))</f>
        <v>545.45824</v>
      </c>
      <c r="CL14" s="239"/>
      <c r="CM14" s="151">
        <f>(AVERAGE(AE17:AE23))</f>
        <v>0.0014285714285714286</v>
      </c>
      <c r="CN14" s="59"/>
      <c r="CP14" s="3"/>
      <c r="CQ14" s="3" t="s">
        <v>151</v>
      </c>
      <c r="CR14" s="3"/>
      <c r="CS14" s="4"/>
      <c r="CT14" s="4"/>
      <c r="CU14" s="4"/>
      <c r="CV14" s="4"/>
      <c r="CW14" s="4"/>
      <c r="CX14" s="4"/>
      <c r="CY14" s="4"/>
      <c r="CZ14" s="4"/>
    </row>
    <row r="15" spans="1:104" ht="18" customHeight="1">
      <c r="A15" s="22">
        <v>4</v>
      </c>
      <c r="C15" s="84">
        <v>2815690</v>
      </c>
      <c r="D15" s="137">
        <f t="shared" si="0"/>
        <v>2.858</v>
      </c>
      <c r="E15" s="139">
        <v>4</v>
      </c>
      <c r="F15" s="140">
        <v>0.8</v>
      </c>
      <c r="G15" s="81" t="str">
        <f t="shared" si="8"/>
        <v>0.00</v>
      </c>
      <c r="H15" s="84">
        <v>3200</v>
      </c>
      <c r="I15" s="85">
        <v>3500</v>
      </c>
      <c r="K15" s="86" t="s">
        <v>209</v>
      </c>
      <c r="L15" s="84">
        <v>57</v>
      </c>
      <c r="M15" s="87">
        <v>0.01</v>
      </c>
      <c r="O15" s="106"/>
      <c r="Q15" s="107">
        <v>19</v>
      </c>
      <c r="R15" s="152">
        <v>0.24</v>
      </c>
      <c r="S15" s="108"/>
      <c r="U15" s="92">
        <v>7.13</v>
      </c>
      <c r="V15" s="93">
        <v>7.02</v>
      </c>
      <c r="W15" s="94">
        <v>6.44</v>
      </c>
      <c r="Y15" s="89">
        <v>14</v>
      </c>
      <c r="Z15" s="95">
        <v>14.2</v>
      </c>
      <c r="AA15" s="91">
        <v>14.7</v>
      </c>
      <c r="AC15" s="92">
        <v>10</v>
      </c>
      <c r="AD15" s="90">
        <v>0.01</v>
      </c>
      <c r="AE15" s="96">
        <v>0</v>
      </c>
      <c r="AG15" s="45">
        <f t="shared" si="1"/>
        <v>4</v>
      </c>
      <c r="AH15" s="281"/>
      <c r="AI15" s="97">
        <v>221</v>
      </c>
      <c r="AJ15" s="55">
        <f t="shared" si="2"/>
        <v>5267.69412</v>
      </c>
      <c r="AK15" s="97">
        <v>129</v>
      </c>
      <c r="AL15" s="55">
        <f t="shared" si="3"/>
        <v>3074.8078800000003</v>
      </c>
      <c r="AM15" s="97">
        <v>16</v>
      </c>
      <c r="AN15" s="55">
        <f t="shared" si="4"/>
        <v>381.37152000000003</v>
      </c>
      <c r="AO15" s="109">
        <v>11</v>
      </c>
      <c r="AQ15" s="99">
        <v>248</v>
      </c>
      <c r="AR15" s="55">
        <f t="shared" si="5"/>
        <v>5911.25856</v>
      </c>
      <c r="AS15" s="97">
        <v>78</v>
      </c>
      <c r="AT15" s="55">
        <f t="shared" si="6"/>
        <v>1859.18616</v>
      </c>
      <c r="AU15" s="97">
        <v>25</v>
      </c>
      <c r="AV15" s="55">
        <f t="shared" si="7"/>
        <v>595.893</v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105"/>
      <c r="CH15" s="105"/>
      <c r="CI15" s="105"/>
      <c r="CJ15" s="105"/>
      <c r="CK15" s="105"/>
      <c r="CL15" s="239"/>
      <c r="CM15" s="151"/>
      <c r="CN15" s="59"/>
      <c r="CP15" s="3"/>
      <c r="CQ15" s="3"/>
      <c r="CR15" s="3"/>
      <c r="CS15" s="4"/>
      <c r="CT15" s="4"/>
      <c r="CU15" s="4"/>
      <c r="CV15" s="4"/>
      <c r="CW15" s="4"/>
      <c r="CX15" s="4"/>
      <c r="CY15" s="4"/>
      <c r="CZ15" s="4"/>
    </row>
    <row r="16" spans="1:104" ht="18" customHeight="1">
      <c r="A16" s="22">
        <v>5</v>
      </c>
      <c r="C16" s="112">
        <v>2818446</v>
      </c>
      <c r="D16" s="138">
        <f t="shared" si="0"/>
        <v>2.756</v>
      </c>
      <c r="E16" s="141">
        <v>4</v>
      </c>
      <c r="F16" s="142">
        <v>0.8</v>
      </c>
      <c r="G16" s="183" t="str">
        <f t="shared" si="8"/>
        <v>0.00</v>
      </c>
      <c r="H16" s="112">
        <v>2000</v>
      </c>
      <c r="I16" s="113">
        <v>2000</v>
      </c>
      <c r="K16" s="114" t="s">
        <v>209</v>
      </c>
      <c r="L16" s="112">
        <v>55</v>
      </c>
      <c r="M16" s="115">
        <v>0</v>
      </c>
      <c r="O16" s="116"/>
      <c r="Q16" s="258">
        <v>16</v>
      </c>
      <c r="R16" s="259">
        <v>0.28</v>
      </c>
      <c r="S16" s="264"/>
      <c r="U16" s="117">
        <v>7.02</v>
      </c>
      <c r="V16" s="118">
        <v>7</v>
      </c>
      <c r="W16" s="119">
        <v>6.49</v>
      </c>
      <c r="Y16" s="120">
        <v>13.1</v>
      </c>
      <c r="Z16" s="121">
        <v>13</v>
      </c>
      <c r="AA16" s="122">
        <v>14.3</v>
      </c>
      <c r="AC16" s="117">
        <v>4.5</v>
      </c>
      <c r="AD16" s="123">
        <v>0.01</v>
      </c>
      <c r="AE16" s="124">
        <v>0</v>
      </c>
      <c r="AG16" s="45">
        <f t="shared" si="1"/>
        <v>5</v>
      </c>
      <c r="AH16" s="281"/>
      <c r="AI16" s="125"/>
      <c r="AJ16" s="65">
        <f t="shared" si="2"/>
      </c>
      <c r="AK16" s="125"/>
      <c r="AL16" s="65">
        <f t="shared" si="3"/>
      </c>
      <c r="AM16" s="125"/>
      <c r="AN16" s="65">
        <f t="shared" si="4"/>
      </c>
      <c r="AO16" s="126"/>
      <c r="AQ16" s="127"/>
      <c r="AR16" s="65">
        <f t="shared" si="5"/>
      </c>
      <c r="AS16" s="125"/>
      <c r="AT16" s="65">
        <f t="shared" si="6"/>
      </c>
      <c r="AU16" s="125"/>
      <c r="AV16" s="65">
        <f t="shared" si="7"/>
      </c>
      <c r="AX16" s="127"/>
      <c r="AY16" s="128"/>
      <c r="AZ16" s="129"/>
      <c r="BA16" s="125"/>
      <c r="BB16" s="129"/>
      <c r="BC16" s="125"/>
      <c r="BD16" s="125"/>
      <c r="BE16" s="130"/>
      <c r="BG16" s="127"/>
      <c r="BH16" s="110"/>
      <c r="BI16" s="131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(IF(((SUM(AM26:AM32))=0)," ",(AVERAGE(AM26:AM32))))</f>
        <v>17</v>
      </c>
      <c r="CH16" s="105">
        <f>(IF(((SUM(AN26:AN32))=0)," ",(AVERAGE(AN26:AN32))))</f>
        <v>341.55357999999995</v>
      </c>
      <c r="CI16" s="105"/>
      <c r="CJ16" s="105">
        <f>(IF(((SUM(AU26:AU32))=0)," ",(AVERAGE(AU26:AU32))))</f>
        <v>21.666666666666668</v>
      </c>
      <c r="CK16" s="105">
        <f>(IF(((SUM(AV26:AV32))=0)," ",(AVERAGE(AV26:AV32))))</f>
        <v>434.63354</v>
      </c>
      <c r="CL16" s="239"/>
      <c r="CM16" s="151">
        <f>(AVERAGE(AE24:AE30))</f>
        <v>0.0014285714285714286</v>
      </c>
      <c r="CN16" s="59"/>
      <c r="CP16" s="3"/>
      <c r="CQ16" s="3"/>
      <c r="CR16" s="3"/>
      <c r="CS16" s="4"/>
      <c r="CT16" s="4"/>
      <c r="CU16" s="4"/>
      <c r="CV16" s="4"/>
      <c r="CW16" s="4"/>
      <c r="CX16" s="4"/>
      <c r="CY16" s="4"/>
      <c r="CZ16" s="4"/>
    </row>
    <row r="17" spans="1:104" ht="18" customHeight="1">
      <c r="A17" s="22">
        <v>6</v>
      </c>
      <c r="C17" s="84">
        <v>2821072</v>
      </c>
      <c r="D17" s="137">
        <f t="shared" si="0"/>
        <v>2.626</v>
      </c>
      <c r="E17" s="139">
        <v>4.9</v>
      </c>
      <c r="F17" s="140">
        <v>0.8</v>
      </c>
      <c r="G17" s="81" t="str">
        <f t="shared" si="8"/>
        <v>0.00</v>
      </c>
      <c r="H17" s="84">
        <v>0</v>
      </c>
      <c r="I17" s="85">
        <v>0</v>
      </c>
      <c r="K17" s="86" t="s">
        <v>209</v>
      </c>
      <c r="L17" s="84">
        <v>53</v>
      </c>
      <c r="M17" s="87">
        <v>0.13</v>
      </c>
      <c r="O17" s="106"/>
      <c r="Q17" s="107">
        <v>18</v>
      </c>
      <c r="R17" s="152">
        <v>0.26</v>
      </c>
      <c r="S17" s="108"/>
      <c r="U17" s="92">
        <v>6.77</v>
      </c>
      <c r="V17" s="93">
        <v>6.8</v>
      </c>
      <c r="W17" s="94">
        <v>6.5</v>
      </c>
      <c r="Y17" s="89">
        <v>13.2</v>
      </c>
      <c r="Z17" s="95">
        <v>13.4</v>
      </c>
      <c r="AA17" s="91">
        <v>14.8</v>
      </c>
      <c r="AC17" s="92">
        <v>4</v>
      </c>
      <c r="AD17" s="90">
        <v>0.01</v>
      </c>
      <c r="AE17" s="96">
        <v>0</v>
      </c>
      <c r="AG17" s="45">
        <f t="shared" si="1"/>
        <v>6</v>
      </c>
      <c r="AH17" s="281"/>
      <c r="AI17" s="97"/>
      <c r="AJ17" s="55">
        <f t="shared" si="2"/>
      </c>
      <c r="AK17" s="97"/>
      <c r="AL17" s="55">
        <f t="shared" si="3"/>
      </c>
      <c r="AM17" s="97"/>
      <c r="AN17" s="55">
        <f t="shared" si="4"/>
      </c>
      <c r="AO17" s="109"/>
      <c r="AQ17" s="99"/>
      <c r="AR17" s="55">
        <f t="shared" si="5"/>
      </c>
      <c r="AS17" s="97"/>
      <c r="AT17" s="55">
        <f t="shared" si="6"/>
      </c>
      <c r="AU17" s="97"/>
      <c r="AV17" s="55">
        <f t="shared" si="7"/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38" t="s">
        <v>150</v>
      </c>
      <c r="BR17" s="238" t="s">
        <v>150</v>
      </c>
      <c r="BS17" s="238" t="s">
        <v>150</v>
      </c>
      <c r="BT17" s="104"/>
      <c r="BU17" s="145">
        <f>MIN(W12:W42)</f>
        <v>6.27</v>
      </c>
      <c r="BV17" s="238" t="s">
        <v>150</v>
      </c>
      <c r="BW17" s="145">
        <f>MAX(W12:W42)</f>
        <v>6.79</v>
      </c>
      <c r="BX17" s="104" t="s">
        <v>43</v>
      </c>
      <c r="BY17" s="104"/>
      <c r="BZ17" s="104">
        <v>0</v>
      </c>
      <c r="CA17" s="144" t="s">
        <v>48</v>
      </c>
      <c r="CB17" s="104" t="s">
        <v>23</v>
      </c>
      <c r="CC17" s="136"/>
      <c r="CE17" s="69"/>
      <c r="CF17" s="20"/>
      <c r="CG17" s="105"/>
      <c r="CH17" s="105"/>
      <c r="CI17" s="105"/>
      <c r="CJ17" s="105"/>
      <c r="CK17" s="105"/>
      <c r="CL17" s="240"/>
      <c r="CM17" s="151"/>
      <c r="CN17" s="59"/>
      <c r="CP17" s="3"/>
      <c r="CQ17" s="3"/>
      <c r="CR17" s="3"/>
      <c r="CS17" s="4"/>
      <c r="CT17" s="4"/>
      <c r="CU17" s="4"/>
      <c r="CV17" s="4"/>
      <c r="CW17" s="4"/>
      <c r="CX17" s="4"/>
      <c r="CY17" s="4"/>
      <c r="CZ17" s="4"/>
    </row>
    <row r="18" spans="1:104" ht="18" customHeight="1">
      <c r="A18" s="22">
        <v>7</v>
      </c>
      <c r="C18" s="84">
        <v>2823897</v>
      </c>
      <c r="D18" s="137">
        <f t="shared" si="0"/>
        <v>2.825</v>
      </c>
      <c r="E18" s="139">
        <v>4.1</v>
      </c>
      <c r="F18" s="140">
        <v>0.7</v>
      </c>
      <c r="G18" s="81" t="str">
        <f t="shared" si="8"/>
        <v>0.00</v>
      </c>
      <c r="H18" s="84">
        <v>7300</v>
      </c>
      <c r="I18" s="85">
        <v>9750</v>
      </c>
      <c r="K18" s="86" t="s">
        <v>208</v>
      </c>
      <c r="L18" s="84">
        <v>50</v>
      </c>
      <c r="M18" s="87">
        <v>0.15</v>
      </c>
      <c r="O18" s="106"/>
      <c r="Q18" s="107">
        <v>19</v>
      </c>
      <c r="R18" s="152">
        <v>0.24</v>
      </c>
      <c r="S18" s="108">
        <v>513</v>
      </c>
      <c r="U18" s="92">
        <v>6.95</v>
      </c>
      <c r="V18" s="93">
        <v>6.94</v>
      </c>
      <c r="W18" s="94">
        <v>6.49</v>
      </c>
      <c r="Y18" s="89">
        <v>14.1</v>
      </c>
      <c r="Z18" s="95">
        <v>13.5</v>
      </c>
      <c r="AA18" s="91">
        <v>14.6</v>
      </c>
      <c r="AC18" s="92">
        <v>5</v>
      </c>
      <c r="AD18" s="90">
        <v>0.01</v>
      </c>
      <c r="AE18" s="96">
        <v>0</v>
      </c>
      <c r="AG18" s="45">
        <f t="shared" si="1"/>
        <v>7</v>
      </c>
      <c r="AH18" s="281"/>
      <c r="AI18" s="97"/>
      <c r="AJ18" s="55">
        <f t="shared" si="2"/>
      </c>
      <c r="AK18" s="97"/>
      <c r="AL18" s="55">
        <f t="shared" si="3"/>
      </c>
      <c r="AM18" s="97"/>
      <c r="AN18" s="55">
        <f t="shared" si="4"/>
      </c>
      <c r="AO18" s="109"/>
      <c r="AQ18" s="99"/>
      <c r="AR18" s="55">
        <f t="shared" si="5"/>
      </c>
      <c r="AS18" s="97"/>
      <c r="AT18" s="55">
        <f t="shared" si="6"/>
      </c>
      <c r="AU18" s="97"/>
      <c r="AV18" s="55">
        <f t="shared" si="7"/>
      </c>
      <c r="AX18" s="99">
        <v>55787</v>
      </c>
      <c r="AY18" s="100">
        <v>3</v>
      </c>
      <c r="AZ18" s="101">
        <v>3.75</v>
      </c>
      <c r="BA18" s="97">
        <v>34.1</v>
      </c>
      <c r="BB18" s="101">
        <v>28</v>
      </c>
      <c r="BC18" s="97">
        <v>24</v>
      </c>
      <c r="BD18" s="97"/>
      <c r="BE18" s="102"/>
      <c r="BG18" s="99">
        <v>24</v>
      </c>
      <c r="BH18" s="83" t="s">
        <v>210</v>
      </c>
      <c r="BI18" s="103" t="s">
        <v>211</v>
      </c>
      <c r="BK18" s="17"/>
      <c r="BL18" s="19"/>
      <c r="BM18" s="26" t="s">
        <v>86</v>
      </c>
      <c r="BN18" s="20"/>
      <c r="BO18" s="153" t="s">
        <v>131</v>
      </c>
      <c r="BP18" s="26"/>
      <c r="BQ18" s="237" t="s">
        <v>150</v>
      </c>
      <c r="BR18" s="237" t="s">
        <v>150</v>
      </c>
      <c r="BS18" s="237" t="s">
        <v>150</v>
      </c>
      <c r="BT18" s="104"/>
      <c r="BU18" s="158">
        <v>6</v>
      </c>
      <c r="BV18" s="237" t="s">
        <v>150</v>
      </c>
      <c r="BW18" s="155">
        <v>8.5</v>
      </c>
      <c r="BX18" s="155" t="s">
        <v>43</v>
      </c>
      <c r="BY18" s="104"/>
      <c r="BZ18" s="237" t="s">
        <v>150</v>
      </c>
      <c r="CA18" s="157" t="s">
        <v>48</v>
      </c>
      <c r="CB18" s="155" t="s">
        <v>23</v>
      </c>
      <c r="CC18" s="136"/>
      <c r="CE18" s="69"/>
      <c r="CF18" s="20" t="s">
        <v>141</v>
      </c>
      <c r="CG18" s="105">
        <f>(IF(((SUM(AM33:AM39))=0)," ",(AVERAGE(AM33:AM39))))</f>
        <v>16.333333333333332</v>
      </c>
      <c r="CH18" s="105">
        <f>(IF(((SUM(AN33:AN39))=0)," ",(AVERAGE(AN33:AN39))))</f>
        <v>315.66344000000004</v>
      </c>
      <c r="CI18" s="105"/>
      <c r="CJ18" s="105">
        <f>(IF(((SUM(AU33:AU39))=0)," ",(AVERAGE(AU33:AU39))))</f>
        <v>23</v>
      </c>
      <c r="CK18" s="105">
        <f>(IF(((SUM(AV33:AV39))=0)," ",(AVERAGE(AV33:AV39))))</f>
        <v>445.078</v>
      </c>
      <c r="CL18" s="240"/>
      <c r="CM18" s="151">
        <f>(AVERAGE(AE31:AE37))</f>
        <v>0</v>
      </c>
      <c r="CN18" s="59"/>
      <c r="CP18" s="3"/>
      <c r="CQ18" s="3"/>
      <c r="CR18" s="3"/>
      <c r="CS18" s="4"/>
      <c r="CT18" s="4"/>
      <c r="CU18" s="4"/>
      <c r="CV18" s="4"/>
      <c r="CW18" s="4"/>
      <c r="CX18" s="4"/>
      <c r="CY18" s="4"/>
      <c r="CZ18" s="4"/>
    </row>
    <row r="19" spans="1:104" ht="18" customHeight="1">
      <c r="A19" s="22">
        <v>8</v>
      </c>
      <c r="C19" s="84">
        <v>2826577</v>
      </c>
      <c r="D19" s="137">
        <f t="shared" si="0"/>
        <v>2.68</v>
      </c>
      <c r="E19" s="139">
        <v>4</v>
      </c>
      <c r="F19" s="140">
        <v>0.7</v>
      </c>
      <c r="G19" s="81" t="str">
        <f t="shared" si="8"/>
        <v>0.00</v>
      </c>
      <c r="H19" s="84">
        <v>4000</v>
      </c>
      <c r="I19" s="85">
        <v>9500</v>
      </c>
      <c r="K19" s="86" t="s">
        <v>209</v>
      </c>
      <c r="L19" s="84">
        <v>60</v>
      </c>
      <c r="M19" s="87">
        <v>0</v>
      </c>
      <c r="O19" s="106"/>
      <c r="Q19" s="107">
        <v>19</v>
      </c>
      <c r="R19" s="152">
        <v>0.26</v>
      </c>
      <c r="S19" s="108">
        <v>129</v>
      </c>
      <c r="U19" s="92">
        <v>7.13</v>
      </c>
      <c r="V19" s="93">
        <v>7.06</v>
      </c>
      <c r="W19" s="94">
        <v>6.52</v>
      </c>
      <c r="Y19" s="89">
        <v>14.1</v>
      </c>
      <c r="Z19" s="95">
        <v>14.1</v>
      </c>
      <c r="AA19" s="91">
        <v>15</v>
      </c>
      <c r="AC19" s="92">
        <v>7</v>
      </c>
      <c r="AD19" s="90">
        <v>0.01</v>
      </c>
      <c r="AE19" s="96">
        <v>0</v>
      </c>
      <c r="AG19" s="45">
        <f t="shared" si="1"/>
        <v>8</v>
      </c>
      <c r="AH19" s="281"/>
      <c r="AI19" s="97"/>
      <c r="AJ19" s="55">
        <f t="shared" si="2"/>
      </c>
      <c r="AK19" s="97"/>
      <c r="AL19" s="55">
        <f t="shared" si="3"/>
      </c>
      <c r="AM19" s="97"/>
      <c r="AN19" s="55">
        <f t="shared" si="4"/>
      </c>
      <c r="AO19" s="109"/>
      <c r="AQ19" s="99"/>
      <c r="AR19" s="55">
        <f t="shared" si="5"/>
      </c>
      <c r="AS19" s="97"/>
      <c r="AT19" s="55">
        <f t="shared" si="6"/>
      </c>
      <c r="AU19" s="97"/>
      <c r="AV19" s="55">
        <f t="shared" si="7"/>
      </c>
      <c r="AX19" s="99"/>
      <c r="AY19" s="100"/>
      <c r="AZ19" s="101"/>
      <c r="BA19" s="97"/>
      <c r="BB19" s="101"/>
      <c r="BC19" s="97"/>
      <c r="BD19" s="97"/>
      <c r="BE19" s="102"/>
      <c r="BG19" s="99"/>
      <c r="BH19" s="83"/>
      <c r="BI19" s="103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105"/>
      <c r="CH19" s="105"/>
      <c r="CI19" s="105"/>
      <c r="CJ19" s="105"/>
      <c r="CK19" s="105"/>
      <c r="CL19" s="240"/>
      <c r="CM19" s="151"/>
      <c r="CN19" s="59"/>
      <c r="CP19" s="3"/>
      <c r="CQ19" s="3"/>
      <c r="CR19" s="3"/>
      <c r="CS19" s="4"/>
      <c r="CT19" s="4"/>
      <c r="CU19" s="4"/>
      <c r="CV19" s="4"/>
      <c r="CW19" s="4"/>
      <c r="CX19" s="4"/>
      <c r="CY19" s="4"/>
      <c r="CZ19" s="4"/>
    </row>
    <row r="20" spans="1:104" ht="18" customHeight="1">
      <c r="A20" s="22">
        <v>9</v>
      </c>
      <c r="C20" s="84">
        <v>2829290</v>
      </c>
      <c r="D20" s="137">
        <f t="shared" si="0"/>
        <v>2.713</v>
      </c>
      <c r="E20" s="139">
        <v>4.5</v>
      </c>
      <c r="F20" s="140">
        <v>0.8</v>
      </c>
      <c r="G20" s="81" t="str">
        <f t="shared" si="8"/>
        <v>0.00</v>
      </c>
      <c r="H20" s="84">
        <v>2000</v>
      </c>
      <c r="I20" s="85">
        <v>6500</v>
      </c>
      <c r="K20" s="86" t="s">
        <v>209</v>
      </c>
      <c r="L20" s="84">
        <v>75</v>
      </c>
      <c r="M20" s="87">
        <v>0.11</v>
      </c>
      <c r="O20" s="106"/>
      <c r="Q20" s="107">
        <v>18</v>
      </c>
      <c r="R20" s="152">
        <v>0.2</v>
      </c>
      <c r="S20" s="108"/>
      <c r="U20" s="92">
        <v>7.06</v>
      </c>
      <c r="V20" s="93">
        <v>7.01</v>
      </c>
      <c r="W20" s="94">
        <v>6.41</v>
      </c>
      <c r="Y20" s="89">
        <v>14.8</v>
      </c>
      <c r="Z20" s="95">
        <v>14.7</v>
      </c>
      <c r="AA20" s="91">
        <v>16.7</v>
      </c>
      <c r="AC20" s="92">
        <v>9</v>
      </c>
      <c r="AD20" s="90">
        <v>0.01</v>
      </c>
      <c r="AE20" s="96">
        <v>0</v>
      </c>
      <c r="AG20" s="45">
        <f t="shared" si="1"/>
        <v>9</v>
      </c>
      <c r="AH20" s="281"/>
      <c r="AI20" s="97">
        <v>296</v>
      </c>
      <c r="AJ20" s="55">
        <f t="shared" si="2"/>
        <v>6697.42032</v>
      </c>
      <c r="AK20" s="97"/>
      <c r="AL20" s="55">
        <f t="shared" si="3"/>
      </c>
      <c r="AM20" s="97">
        <v>20</v>
      </c>
      <c r="AN20" s="55">
        <f t="shared" si="4"/>
        <v>452.52840000000003</v>
      </c>
      <c r="AO20" s="109">
        <v>14</v>
      </c>
      <c r="AQ20" s="99">
        <v>342</v>
      </c>
      <c r="AR20" s="55">
        <f t="shared" si="5"/>
        <v>7738.23564</v>
      </c>
      <c r="AS20" s="97"/>
      <c r="AT20" s="55">
        <f t="shared" si="6"/>
      </c>
      <c r="AU20" s="97">
        <v>28</v>
      </c>
      <c r="AV20" s="55">
        <f t="shared" si="7"/>
        <v>633.53976</v>
      </c>
      <c r="AX20" s="99"/>
      <c r="AY20" s="100"/>
      <c r="AZ20" s="101"/>
      <c r="BA20" s="97"/>
      <c r="BB20" s="101"/>
      <c r="BC20" s="97"/>
      <c r="BD20" s="97"/>
      <c r="BE20" s="102"/>
      <c r="BG20" s="99"/>
      <c r="BH20" s="83"/>
      <c r="BI20" s="103"/>
      <c r="CE20" s="69"/>
      <c r="CF20" s="20" t="s">
        <v>142</v>
      </c>
      <c r="CG20" s="105">
        <v>15</v>
      </c>
      <c r="CH20" s="105">
        <v>287</v>
      </c>
      <c r="CI20" s="105"/>
      <c r="CJ20" s="105">
        <v>23</v>
      </c>
      <c r="CK20" s="105">
        <v>441</v>
      </c>
      <c r="CL20" s="240"/>
      <c r="CM20" s="151">
        <f>(AVERAGE(AE38:AE41))</f>
        <v>0</v>
      </c>
      <c r="CN20" s="59"/>
      <c r="CP20" s="3"/>
      <c r="CQ20" s="3"/>
      <c r="CR20" s="3"/>
      <c r="CS20" s="4"/>
      <c r="CT20" s="4"/>
      <c r="CU20" s="4"/>
      <c r="CV20" s="4"/>
      <c r="CW20" s="4"/>
      <c r="CX20" s="4"/>
      <c r="CY20" s="4"/>
      <c r="CZ20" s="4"/>
    </row>
    <row r="21" spans="1:104" ht="18" customHeight="1">
      <c r="A21" s="22">
        <v>10</v>
      </c>
      <c r="C21" s="112">
        <v>2831946</v>
      </c>
      <c r="D21" s="138">
        <f t="shared" si="0"/>
        <v>2.656</v>
      </c>
      <c r="E21" s="141">
        <v>4.4</v>
      </c>
      <c r="F21" s="142">
        <v>0.7</v>
      </c>
      <c r="G21" s="183" t="str">
        <f t="shared" si="8"/>
        <v>0.00</v>
      </c>
      <c r="H21" s="112">
        <v>1200</v>
      </c>
      <c r="I21" s="113">
        <v>9750</v>
      </c>
      <c r="K21" s="114" t="s">
        <v>208</v>
      </c>
      <c r="L21" s="112">
        <v>64</v>
      </c>
      <c r="M21" s="115">
        <v>0.01</v>
      </c>
      <c r="O21" s="116"/>
      <c r="Q21" s="258">
        <v>18</v>
      </c>
      <c r="R21" s="259">
        <v>0.23</v>
      </c>
      <c r="S21" s="264"/>
      <c r="U21" s="117">
        <v>7.03</v>
      </c>
      <c r="V21" s="118">
        <v>6.92</v>
      </c>
      <c r="W21" s="119">
        <v>6.44</v>
      </c>
      <c r="Y21" s="120">
        <v>14.7</v>
      </c>
      <c r="Z21" s="121">
        <v>14</v>
      </c>
      <c r="AA21" s="122">
        <v>15.3</v>
      </c>
      <c r="AC21" s="117">
        <v>9</v>
      </c>
      <c r="AD21" s="123">
        <v>0.2</v>
      </c>
      <c r="AE21" s="124">
        <v>0</v>
      </c>
      <c r="AG21" s="45">
        <f t="shared" si="1"/>
        <v>10</v>
      </c>
      <c r="AH21" s="281"/>
      <c r="AI21" s="125">
        <v>271</v>
      </c>
      <c r="AJ21" s="65">
        <f t="shared" si="2"/>
        <v>6002.93184</v>
      </c>
      <c r="AK21" s="125"/>
      <c r="AL21" s="65">
        <f t="shared" si="3"/>
      </c>
      <c r="AM21" s="125">
        <v>17</v>
      </c>
      <c r="AN21" s="65">
        <f t="shared" si="4"/>
        <v>376.56768</v>
      </c>
      <c r="AO21" s="126">
        <v>8</v>
      </c>
      <c r="AQ21" s="127">
        <v>182</v>
      </c>
      <c r="AR21" s="65">
        <f t="shared" si="5"/>
        <v>4031.4892800000002</v>
      </c>
      <c r="AS21" s="125"/>
      <c r="AT21" s="65">
        <f t="shared" si="6"/>
      </c>
      <c r="AU21" s="125">
        <v>25</v>
      </c>
      <c r="AV21" s="65">
        <f t="shared" si="7"/>
        <v>553.7760000000001</v>
      </c>
      <c r="AX21" s="127">
        <v>53756</v>
      </c>
      <c r="AY21" s="128">
        <v>3</v>
      </c>
      <c r="AZ21" s="129">
        <v>3.5</v>
      </c>
      <c r="BA21" s="125">
        <v>34.1</v>
      </c>
      <c r="BB21" s="129">
        <v>26</v>
      </c>
      <c r="BC21" s="125">
        <v>24</v>
      </c>
      <c r="BD21" s="125"/>
      <c r="BE21" s="130"/>
      <c r="BG21" s="127">
        <v>24</v>
      </c>
      <c r="BH21" s="110" t="s">
        <v>210</v>
      </c>
      <c r="BI21" s="131" t="s">
        <v>211</v>
      </c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3"/>
      <c r="CQ21" s="3"/>
      <c r="CR21" s="3"/>
      <c r="CS21" s="4"/>
      <c r="CT21" s="4"/>
      <c r="CU21" s="4"/>
      <c r="CV21" s="4"/>
      <c r="CW21" s="4"/>
      <c r="CX21" s="4"/>
      <c r="CY21" s="4"/>
      <c r="CZ21" s="4"/>
    </row>
    <row r="22" spans="1:104" ht="18" customHeight="1">
      <c r="A22" s="22">
        <v>11</v>
      </c>
      <c r="C22" s="84">
        <v>2834510</v>
      </c>
      <c r="D22" s="137">
        <f t="shared" si="0"/>
        <v>2.564</v>
      </c>
      <c r="E22" s="139">
        <v>4</v>
      </c>
      <c r="F22" s="140">
        <v>0.7</v>
      </c>
      <c r="G22" s="81" t="str">
        <f t="shared" si="8"/>
        <v>0.00</v>
      </c>
      <c r="H22" s="84">
        <v>2350</v>
      </c>
      <c r="I22" s="85">
        <v>10000</v>
      </c>
      <c r="K22" s="86" t="s">
        <v>209</v>
      </c>
      <c r="L22" s="84">
        <v>59</v>
      </c>
      <c r="M22" s="87">
        <v>0</v>
      </c>
      <c r="O22" s="106"/>
      <c r="Q22" s="107">
        <v>17</v>
      </c>
      <c r="R22" s="152">
        <v>0.2</v>
      </c>
      <c r="S22" s="108">
        <v>20</v>
      </c>
      <c r="U22" s="92">
        <v>7.07</v>
      </c>
      <c r="V22" s="93">
        <v>6.99</v>
      </c>
      <c r="W22" s="94">
        <v>6.53</v>
      </c>
      <c r="Y22" s="89">
        <v>13.9</v>
      </c>
      <c r="Z22" s="95">
        <v>14.2</v>
      </c>
      <c r="AA22" s="91">
        <v>15.5</v>
      </c>
      <c r="AC22" s="92">
        <v>6</v>
      </c>
      <c r="AD22" s="90">
        <v>0.01</v>
      </c>
      <c r="AE22" s="96">
        <v>0.01</v>
      </c>
      <c r="AG22" s="45">
        <f t="shared" si="1"/>
        <v>11</v>
      </c>
      <c r="AH22" s="281"/>
      <c r="AI22" s="97">
        <v>265</v>
      </c>
      <c r="AJ22" s="55">
        <f t="shared" si="2"/>
        <v>5666.6964</v>
      </c>
      <c r="AK22" s="97">
        <v>169</v>
      </c>
      <c r="AL22" s="55">
        <f t="shared" si="3"/>
        <v>3613.8554400000003</v>
      </c>
      <c r="AM22" s="97">
        <v>18</v>
      </c>
      <c r="AN22" s="55">
        <f t="shared" si="4"/>
        <v>384.90768</v>
      </c>
      <c r="AO22" s="109">
        <v>11</v>
      </c>
      <c r="AQ22" s="99">
        <v>228</v>
      </c>
      <c r="AR22" s="55">
        <f t="shared" si="5"/>
        <v>4875.49728</v>
      </c>
      <c r="AS22" s="97">
        <v>89</v>
      </c>
      <c r="AT22" s="55">
        <f t="shared" si="6"/>
        <v>1903.15464</v>
      </c>
      <c r="AU22" s="97">
        <v>21</v>
      </c>
      <c r="AV22" s="55">
        <f t="shared" si="7"/>
        <v>449.05896</v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49">
        <f>(IF(((SUM(AV12:AV42))=0)," ",(AVERAGE(AV12:AV42))))</f>
        <v>501.39053538461536</v>
      </c>
      <c r="BR22" s="149">
        <f>MAX(AV12:AV42)</f>
        <v>649.41912</v>
      </c>
      <c r="BS22" s="104" t="s">
        <v>126</v>
      </c>
      <c r="BT22" s="104"/>
      <c r="BU22" s="149">
        <f>(IF(((SUM(AU12:AU42))=0)," ",(AVERAGE(AU12:AU42))))</f>
        <v>23.692307692307693</v>
      </c>
      <c r="BV22" s="143">
        <f>(CJ23)</f>
        <v>25.666666666666668</v>
      </c>
      <c r="BW22" s="149">
        <f>MAX(AU12:AU42)</f>
        <v>28</v>
      </c>
      <c r="BX22" s="104" t="s">
        <v>128</v>
      </c>
      <c r="BY22" s="104"/>
      <c r="BZ22" s="104">
        <v>0</v>
      </c>
      <c r="CA22" s="144" t="s">
        <v>47</v>
      </c>
      <c r="CB22" s="104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3"/>
      <c r="CQ22" s="3"/>
      <c r="CR22" s="3"/>
      <c r="CS22" s="4"/>
      <c r="CT22" s="4"/>
      <c r="CU22" s="4"/>
      <c r="CV22" s="4"/>
      <c r="CW22" s="4"/>
      <c r="CX22" s="4"/>
      <c r="CY22" s="4"/>
      <c r="CZ22" s="4"/>
    </row>
    <row r="23" spans="1:104" ht="18" customHeight="1">
      <c r="A23" s="22">
        <v>12</v>
      </c>
      <c r="C23" s="84">
        <v>2837008</v>
      </c>
      <c r="D23" s="137">
        <f t="shared" si="0"/>
        <v>2.498</v>
      </c>
      <c r="E23" s="139">
        <v>3.8</v>
      </c>
      <c r="F23" s="140">
        <v>0.6</v>
      </c>
      <c r="G23" s="81" t="str">
        <f t="shared" si="8"/>
        <v>0.00</v>
      </c>
      <c r="H23" s="84">
        <v>1000</v>
      </c>
      <c r="I23" s="85">
        <v>6500</v>
      </c>
      <c r="K23" s="86" t="s">
        <v>209</v>
      </c>
      <c r="L23" s="84">
        <v>58</v>
      </c>
      <c r="M23" s="87">
        <v>0</v>
      </c>
      <c r="O23" s="106"/>
      <c r="Q23" s="107">
        <v>18</v>
      </c>
      <c r="R23" s="152">
        <v>0.21</v>
      </c>
      <c r="S23" s="108"/>
      <c r="U23" s="92">
        <v>7.02</v>
      </c>
      <c r="V23" s="93">
        <v>6.97</v>
      </c>
      <c r="W23" s="94">
        <v>6.49</v>
      </c>
      <c r="Y23" s="89">
        <v>13.4</v>
      </c>
      <c r="Z23" s="95">
        <v>13.7</v>
      </c>
      <c r="AA23" s="91">
        <v>15.2</v>
      </c>
      <c r="AC23" s="92">
        <v>4</v>
      </c>
      <c r="AD23" s="90">
        <v>0.01</v>
      </c>
      <c r="AE23" s="96">
        <v>0</v>
      </c>
      <c r="AG23" s="45">
        <f t="shared" si="1"/>
        <v>12</v>
      </c>
      <c r="AH23" s="281"/>
      <c r="AI23" s="97"/>
      <c r="AJ23" s="55">
        <f t="shared" si="2"/>
      </c>
      <c r="AK23" s="97"/>
      <c r="AL23" s="55">
        <f t="shared" si="3"/>
      </c>
      <c r="AM23" s="97"/>
      <c r="AN23" s="55">
        <f t="shared" si="4"/>
      </c>
      <c r="AO23" s="109"/>
      <c r="AQ23" s="99"/>
      <c r="AR23" s="55">
        <f t="shared" si="5"/>
      </c>
      <c r="AS23" s="97"/>
      <c r="AT23" s="55">
        <f t="shared" si="6"/>
      </c>
      <c r="AU23" s="97"/>
      <c r="AV23" s="55">
        <f t="shared" si="7"/>
      </c>
      <c r="AX23" s="99"/>
      <c r="AY23" s="100"/>
      <c r="AZ23" s="101"/>
      <c r="BA23" s="97"/>
      <c r="BB23" s="101"/>
      <c r="BC23" s="97"/>
      <c r="BD23" s="97"/>
      <c r="BE23" s="102"/>
      <c r="BG23" s="99"/>
      <c r="BH23" s="83"/>
      <c r="BI23" s="103"/>
      <c r="BK23" s="17"/>
      <c r="BL23" s="19"/>
      <c r="BM23" s="26" t="s">
        <v>86</v>
      </c>
      <c r="BN23" s="20"/>
      <c r="BO23" s="153" t="s">
        <v>131</v>
      </c>
      <c r="BP23" s="26"/>
      <c r="BQ23" s="236">
        <v>963</v>
      </c>
      <c r="BR23" s="236">
        <v>1605</v>
      </c>
      <c r="BS23" s="155" t="s">
        <v>126</v>
      </c>
      <c r="BT23" s="104"/>
      <c r="BU23" s="236">
        <v>30</v>
      </c>
      <c r="BV23" s="156">
        <v>45</v>
      </c>
      <c r="BW23" s="236">
        <v>50</v>
      </c>
      <c r="BX23" s="155" t="s">
        <v>128</v>
      </c>
      <c r="BY23" s="104"/>
      <c r="BZ23" s="237" t="s">
        <v>150</v>
      </c>
      <c r="CA23" s="157" t="s">
        <v>47</v>
      </c>
      <c r="CB23" s="155">
        <v>24</v>
      </c>
      <c r="CC23" s="136"/>
      <c r="CE23" s="69"/>
      <c r="CF23" s="72" t="s">
        <v>53</v>
      </c>
      <c r="CG23" s="149">
        <f>(IF(((SUM(CG12:CG20))=0)," ",(MAX(CG12:CG20))))</f>
        <v>18.333333333333332</v>
      </c>
      <c r="CH23" s="149">
        <f>(IF(((SUM(CH12:CH20))=0)," ",(MAX(CH12:CH20))))</f>
        <v>413.17750000000007</v>
      </c>
      <c r="CI23" s="185"/>
      <c r="CJ23" s="149">
        <f>(IF(((SUM(CJ12:CJ20))=0)," ",(MAX(CJ12:CJ20))))</f>
        <v>25.666666666666668</v>
      </c>
      <c r="CK23" s="149">
        <f>(IF(((SUM(CK12:CK20))=0)," ",(MAX(CK12:CK20))))</f>
        <v>600.65236</v>
      </c>
      <c r="CL23" s="71"/>
      <c r="CM23" s="277">
        <f>(MAX(CM12:CM20))</f>
        <v>0.002</v>
      </c>
      <c r="CN23" s="59"/>
      <c r="CP23" s="3"/>
      <c r="CQ23" s="3"/>
      <c r="CR23" s="3"/>
      <c r="CS23" s="4"/>
      <c r="CT23" s="4"/>
      <c r="CU23" s="4"/>
      <c r="CV23" s="4"/>
      <c r="CW23" s="4"/>
      <c r="CX23" s="4"/>
      <c r="CY23" s="4"/>
      <c r="CZ23" s="4"/>
    </row>
    <row r="24" spans="1:104" ht="18" customHeight="1">
      <c r="A24" s="22">
        <v>13</v>
      </c>
      <c r="C24" s="84">
        <v>2839353</v>
      </c>
      <c r="D24" s="137">
        <f t="shared" si="0"/>
        <v>2.345</v>
      </c>
      <c r="E24" s="139">
        <v>3.8</v>
      </c>
      <c r="F24" s="140">
        <v>0.6</v>
      </c>
      <c r="G24" s="81" t="str">
        <f t="shared" si="8"/>
        <v>0.00</v>
      </c>
      <c r="H24" s="84">
        <v>0</v>
      </c>
      <c r="I24" s="85">
        <v>0</v>
      </c>
      <c r="K24" s="86" t="s">
        <v>209</v>
      </c>
      <c r="L24" s="84">
        <v>59</v>
      </c>
      <c r="M24" s="87">
        <v>0</v>
      </c>
      <c r="O24" s="106"/>
      <c r="Q24" s="107">
        <v>17</v>
      </c>
      <c r="R24" s="152">
        <v>0.25</v>
      </c>
      <c r="S24" s="108"/>
      <c r="U24" s="92">
        <v>6.96</v>
      </c>
      <c r="V24" s="93">
        <v>6.96</v>
      </c>
      <c r="W24" s="94">
        <v>6.42</v>
      </c>
      <c r="Y24" s="89">
        <v>14</v>
      </c>
      <c r="Z24" s="95">
        <v>13.8</v>
      </c>
      <c r="AA24" s="91">
        <v>15.1</v>
      </c>
      <c r="AC24" s="92">
        <v>4</v>
      </c>
      <c r="AD24" s="90">
        <v>0.01</v>
      </c>
      <c r="AE24" s="96">
        <v>0</v>
      </c>
      <c r="AG24" s="45">
        <f t="shared" si="1"/>
        <v>13</v>
      </c>
      <c r="AH24" s="281"/>
      <c r="AI24" s="97"/>
      <c r="AJ24" s="55">
        <f t="shared" si="2"/>
      </c>
      <c r="AK24" s="97"/>
      <c r="AL24" s="55">
        <f t="shared" si="3"/>
      </c>
      <c r="AM24" s="97"/>
      <c r="AN24" s="55">
        <f t="shared" si="4"/>
      </c>
      <c r="AO24" s="109"/>
      <c r="AQ24" s="99"/>
      <c r="AR24" s="55">
        <f t="shared" si="5"/>
      </c>
      <c r="AS24" s="97"/>
      <c r="AT24" s="55">
        <f t="shared" si="6"/>
      </c>
      <c r="AU24" s="97"/>
      <c r="AV24" s="55">
        <f t="shared" si="7"/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3"/>
      <c r="CQ24" s="3"/>
      <c r="CR24" s="3"/>
      <c r="CS24" s="4"/>
      <c r="CT24" s="4"/>
      <c r="CU24" s="4"/>
      <c r="CV24" s="4"/>
      <c r="CW24" s="4"/>
      <c r="CX24" s="4"/>
      <c r="CY24" s="4"/>
      <c r="CZ24" s="4"/>
    </row>
    <row r="25" spans="1:104" ht="18" customHeight="1">
      <c r="A25" s="22">
        <v>14</v>
      </c>
      <c r="C25" s="84">
        <v>2841719</v>
      </c>
      <c r="D25" s="137">
        <f t="shared" si="0"/>
        <v>2.366</v>
      </c>
      <c r="E25" s="139">
        <v>4</v>
      </c>
      <c r="F25" s="140">
        <v>0.6</v>
      </c>
      <c r="G25" s="81" t="str">
        <f t="shared" si="8"/>
        <v>0.00</v>
      </c>
      <c r="H25" s="84">
        <v>2700</v>
      </c>
      <c r="I25" s="85">
        <v>6000</v>
      </c>
      <c r="K25" s="86" t="s">
        <v>209</v>
      </c>
      <c r="L25" s="84">
        <v>60</v>
      </c>
      <c r="M25" s="87">
        <v>0</v>
      </c>
      <c r="O25" s="106"/>
      <c r="Q25" s="107">
        <v>17</v>
      </c>
      <c r="R25" s="152">
        <v>0.28</v>
      </c>
      <c r="S25" s="108">
        <v>37</v>
      </c>
      <c r="U25" s="92">
        <v>7.2</v>
      </c>
      <c r="V25" s="93">
        <v>6.99</v>
      </c>
      <c r="W25" s="94">
        <v>6.63</v>
      </c>
      <c r="Y25" s="89">
        <v>14.4</v>
      </c>
      <c r="Z25" s="95">
        <v>14.1</v>
      </c>
      <c r="AA25" s="91">
        <v>15.4</v>
      </c>
      <c r="AC25" s="92">
        <v>5</v>
      </c>
      <c r="AD25" s="90">
        <v>0.1</v>
      </c>
      <c r="AE25" s="96">
        <v>0.01</v>
      </c>
      <c r="AG25" s="45">
        <f t="shared" si="1"/>
        <v>14</v>
      </c>
      <c r="AH25" s="281"/>
      <c r="AI25" s="97"/>
      <c r="AJ25" s="55">
        <f t="shared" si="2"/>
      </c>
      <c r="AK25" s="97"/>
      <c r="AL25" s="55">
        <f t="shared" si="3"/>
      </c>
      <c r="AM25" s="97"/>
      <c r="AN25" s="55">
        <f t="shared" si="4"/>
      </c>
      <c r="AO25" s="109"/>
      <c r="AQ25" s="99"/>
      <c r="AR25" s="55">
        <f t="shared" si="5"/>
      </c>
      <c r="AS25" s="97"/>
      <c r="AT25" s="55">
        <f t="shared" si="6"/>
      </c>
      <c r="AU25" s="97"/>
      <c r="AV25" s="55">
        <f t="shared" si="7"/>
      </c>
      <c r="AX25" s="99">
        <v>31376</v>
      </c>
      <c r="AY25" s="100">
        <v>4</v>
      </c>
      <c r="AZ25" s="101">
        <v>2.5</v>
      </c>
      <c r="BA25" s="97">
        <v>24.8</v>
      </c>
      <c r="BB25" s="101">
        <v>28</v>
      </c>
      <c r="BC25" s="97">
        <v>12</v>
      </c>
      <c r="BD25" s="97"/>
      <c r="BE25" s="102"/>
      <c r="BG25" s="99">
        <v>12</v>
      </c>
      <c r="BH25" s="83" t="s">
        <v>210</v>
      </c>
      <c r="BI25" s="103" t="s">
        <v>211</v>
      </c>
      <c r="CP25" s="3"/>
      <c r="CQ25" s="3"/>
      <c r="CR25" s="3"/>
      <c r="CS25" s="4"/>
      <c r="CT25" s="4"/>
      <c r="CU25" s="4"/>
      <c r="CV25" s="4"/>
      <c r="CW25" s="4"/>
      <c r="CX25" s="4"/>
      <c r="CY25" s="4"/>
      <c r="CZ25" s="4"/>
    </row>
    <row r="26" spans="1:104" ht="18" customHeight="1">
      <c r="A26" s="22">
        <v>15</v>
      </c>
      <c r="C26" s="112">
        <v>2844318</v>
      </c>
      <c r="D26" s="138">
        <f t="shared" si="0"/>
        <v>2.599</v>
      </c>
      <c r="E26" s="141">
        <v>3.8</v>
      </c>
      <c r="F26" s="142">
        <v>0.6</v>
      </c>
      <c r="G26" s="183" t="str">
        <f t="shared" si="8"/>
        <v>0.00</v>
      </c>
      <c r="H26" s="112">
        <v>3000</v>
      </c>
      <c r="I26" s="113">
        <v>4500</v>
      </c>
      <c r="K26" s="114" t="s">
        <v>208</v>
      </c>
      <c r="L26" s="112">
        <v>70</v>
      </c>
      <c r="M26" s="115">
        <v>0</v>
      </c>
      <c r="O26" s="116"/>
      <c r="Q26" s="258">
        <v>18</v>
      </c>
      <c r="R26" s="259">
        <v>0.25</v>
      </c>
      <c r="S26" s="264">
        <v>733</v>
      </c>
      <c r="U26" s="117">
        <v>7.17</v>
      </c>
      <c r="V26" s="118">
        <v>7.03</v>
      </c>
      <c r="W26" s="119">
        <v>6.63</v>
      </c>
      <c r="Y26" s="120">
        <v>14.6</v>
      </c>
      <c r="Z26" s="121">
        <v>15.3</v>
      </c>
      <c r="AA26" s="122">
        <v>16.6</v>
      </c>
      <c r="AC26" s="117">
        <v>9.5</v>
      </c>
      <c r="AD26" s="123">
        <v>0.01</v>
      </c>
      <c r="AE26" s="124">
        <v>0</v>
      </c>
      <c r="AG26" s="45">
        <f t="shared" si="1"/>
        <v>15</v>
      </c>
      <c r="AH26" s="281"/>
      <c r="AI26" s="125"/>
      <c r="AJ26" s="65">
        <f t="shared" si="2"/>
      </c>
      <c r="AK26" s="125"/>
      <c r="AL26" s="65">
        <f t="shared" si="3"/>
      </c>
      <c r="AM26" s="125"/>
      <c r="AN26" s="65">
        <f t="shared" si="4"/>
      </c>
      <c r="AO26" s="126"/>
      <c r="AQ26" s="127"/>
      <c r="AR26" s="65">
        <f t="shared" si="5"/>
      </c>
      <c r="AS26" s="125"/>
      <c r="AT26" s="65">
        <f t="shared" si="6"/>
      </c>
      <c r="AU26" s="125"/>
      <c r="AV26" s="65">
        <f t="shared" si="7"/>
      </c>
      <c r="AX26" s="127"/>
      <c r="AY26" s="128"/>
      <c r="AZ26" s="129"/>
      <c r="BA26" s="125"/>
      <c r="BB26" s="129"/>
      <c r="BC26" s="125"/>
      <c r="BD26" s="125"/>
      <c r="BE26" s="130"/>
      <c r="BG26" s="127"/>
      <c r="BH26" s="110"/>
      <c r="BI26" s="131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3"/>
      <c r="CQ26" s="3"/>
      <c r="CR26" s="3"/>
      <c r="CS26" s="4"/>
      <c r="CT26" s="4"/>
      <c r="CU26" s="4"/>
      <c r="CV26" s="4"/>
      <c r="CW26" s="4"/>
      <c r="CX26" s="4"/>
      <c r="CY26" s="4"/>
      <c r="CZ26" s="4"/>
    </row>
    <row r="27" spans="1:104" ht="18" customHeight="1">
      <c r="A27" s="22">
        <v>16</v>
      </c>
      <c r="C27" s="84">
        <v>2846725</v>
      </c>
      <c r="D27" s="137">
        <f t="shared" si="0"/>
        <v>2.407</v>
      </c>
      <c r="E27" s="139">
        <v>3.8</v>
      </c>
      <c r="F27" s="140">
        <v>0.6</v>
      </c>
      <c r="G27" s="81" t="str">
        <f t="shared" si="8"/>
        <v>0.00</v>
      </c>
      <c r="H27" s="84">
        <v>5000</v>
      </c>
      <c r="I27" s="85">
        <v>9500</v>
      </c>
      <c r="K27" s="86" t="s">
        <v>209</v>
      </c>
      <c r="L27" s="84">
        <v>69</v>
      </c>
      <c r="M27" s="87">
        <v>0</v>
      </c>
      <c r="O27" s="106"/>
      <c r="Q27" s="107">
        <v>18</v>
      </c>
      <c r="R27" s="152">
        <v>0.25</v>
      </c>
      <c r="S27" s="108">
        <v>35</v>
      </c>
      <c r="U27" s="92">
        <v>7.19</v>
      </c>
      <c r="V27" s="93">
        <v>6.99</v>
      </c>
      <c r="W27" s="94">
        <v>6.47</v>
      </c>
      <c r="Y27" s="89">
        <v>14.8</v>
      </c>
      <c r="Z27" s="95">
        <v>15</v>
      </c>
      <c r="AA27" s="91">
        <v>16.3</v>
      </c>
      <c r="AC27" s="92">
        <v>5.5</v>
      </c>
      <c r="AD27" s="90">
        <v>0.01</v>
      </c>
      <c r="AE27" s="96">
        <v>0</v>
      </c>
      <c r="AG27" s="45">
        <f t="shared" si="1"/>
        <v>16</v>
      </c>
      <c r="AH27" s="281"/>
      <c r="AI27" s="97">
        <v>236</v>
      </c>
      <c r="AJ27" s="55">
        <f t="shared" si="2"/>
        <v>4737.55368</v>
      </c>
      <c r="AK27" s="97"/>
      <c r="AL27" s="55">
        <f t="shared" si="3"/>
      </c>
      <c r="AM27" s="97">
        <v>15</v>
      </c>
      <c r="AN27" s="55">
        <f t="shared" si="4"/>
        <v>301.1157</v>
      </c>
      <c r="AO27" s="109">
        <v>11</v>
      </c>
      <c r="AQ27" s="99">
        <v>208</v>
      </c>
      <c r="AR27" s="55">
        <f t="shared" si="5"/>
        <v>4175.47104</v>
      </c>
      <c r="AS27" s="97"/>
      <c r="AT27" s="55">
        <f t="shared" si="6"/>
      </c>
      <c r="AU27" s="97">
        <v>23</v>
      </c>
      <c r="AV27" s="55">
        <f t="shared" si="7"/>
        <v>461.71074000000004</v>
      </c>
      <c r="AX27" s="99">
        <v>26465</v>
      </c>
      <c r="AY27" s="100">
        <v>4</v>
      </c>
      <c r="AZ27" s="101">
        <v>2</v>
      </c>
      <c r="BA27" s="97">
        <v>21.7</v>
      </c>
      <c r="BB27" s="101">
        <v>28</v>
      </c>
      <c r="BC27" s="97">
        <v>12</v>
      </c>
      <c r="BD27" s="97"/>
      <c r="BE27" s="102"/>
      <c r="BG27" s="99">
        <v>12</v>
      </c>
      <c r="BH27" s="83" t="s">
        <v>210</v>
      </c>
      <c r="BI27" s="103" t="s">
        <v>211</v>
      </c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3"/>
      <c r="CQ27" s="3"/>
      <c r="CR27" s="3"/>
      <c r="CS27" s="4"/>
      <c r="CT27" s="4"/>
      <c r="CU27" s="4"/>
      <c r="CV27" s="4"/>
      <c r="CW27" s="4"/>
      <c r="CX27" s="4"/>
      <c r="CY27" s="4"/>
      <c r="CZ27" s="4"/>
    </row>
    <row r="28" spans="1:104" ht="18" customHeight="1">
      <c r="A28" s="22">
        <v>17</v>
      </c>
      <c r="C28" s="84">
        <v>2849096</v>
      </c>
      <c r="D28" s="137">
        <f t="shared" si="0"/>
        <v>2.371</v>
      </c>
      <c r="E28" s="139">
        <v>4.2</v>
      </c>
      <c r="F28" s="140">
        <v>0.6</v>
      </c>
      <c r="G28" s="81" t="str">
        <f t="shared" si="8"/>
        <v>0.00</v>
      </c>
      <c r="H28" s="84">
        <v>6500</v>
      </c>
      <c r="I28" s="85">
        <v>5750</v>
      </c>
      <c r="K28" s="86" t="s">
        <v>209</v>
      </c>
      <c r="L28" s="84">
        <v>69</v>
      </c>
      <c r="M28" s="87">
        <v>0</v>
      </c>
      <c r="O28" s="106"/>
      <c r="Q28" s="107">
        <v>20</v>
      </c>
      <c r="R28" s="152">
        <v>0.22</v>
      </c>
      <c r="S28" s="108"/>
      <c r="U28" s="92">
        <v>6.96</v>
      </c>
      <c r="V28" s="93">
        <v>6.92</v>
      </c>
      <c r="W28" s="94">
        <v>6.27</v>
      </c>
      <c r="Y28" s="89">
        <v>14.3</v>
      </c>
      <c r="Z28" s="95">
        <v>14.7</v>
      </c>
      <c r="AA28" s="91">
        <v>16.4</v>
      </c>
      <c r="AC28" s="92">
        <v>7</v>
      </c>
      <c r="AD28" s="90">
        <v>0.01</v>
      </c>
      <c r="AE28" s="96">
        <v>0</v>
      </c>
      <c r="AG28" s="45">
        <f t="shared" si="1"/>
        <v>17</v>
      </c>
      <c r="AH28" s="281"/>
      <c r="AI28" s="97">
        <v>262</v>
      </c>
      <c r="AJ28" s="55">
        <f t="shared" si="2"/>
        <v>5180.82468</v>
      </c>
      <c r="AK28" s="97"/>
      <c r="AL28" s="55">
        <f t="shared" si="3"/>
      </c>
      <c r="AM28" s="97">
        <v>16</v>
      </c>
      <c r="AN28" s="55">
        <f t="shared" si="4"/>
        <v>316.38624</v>
      </c>
      <c r="AO28" s="109">
        <v>11</v>
      </c>
      <c r="AQ28" s="99">
        <v>178</v>
      </c>
      <c r="AR28" s="55">
        <f t="shared" si="5"/>
        <v>3519.7969200000002</v>
      </c>
      <c r="AS28" s="97"/>
      <c r="AT28" s="55">
        <f t="shared" si="6"/>
      </c>
      <c r="AU28" s="97">
        <v>22</v>
      </c>
      <c r="AV28" s="55">
        <f t="shared" si="7"/>
        <v>435.03108</v>
      </c>
      <c r="AX28" s="99">
        <v>25490</v>
      </c>
      <c r="AY28" s="100">
        <v>4</v>
      </c>
      <c r="AZ28" s="101">
        <v>2</v>
      </c>
      <c r="BA28" s="97">
        <v>24.8</v>
      </c>
      <c r="BB28" s="101">
        <v>28</v>
      </c>
      <c r="BC28" s="97">
        <v>12</v>
      </c>
      <c r="BD28" s="97"/>
      <c r="BE28" s="102"/>
      <c r="BG28" s="99">
        <v>12</v>
      </c>
      <c r="BH28" s="83" t="s">
        <v>210</v>
      </c>
      <c r="BI28" s="103" t="s">
        <v>211</v>
      </c>
      <c r="BK28" s="17"/>
      <c r="BL28" s="19"/>
      <c r="BM28" s="56" t="s">
        <v>9</v>
      </c>
      <c r="BN28" s="20"/>
      <c r="BO28" s="57" t="s">
        <v>130</v>
      </c>
      <c r="BP28" s="26"/>
      <c r="BQ28" s="238" t="s">
        <v>150</v>
      </c>
      <c r="BR28" s="238" t="s">
        <v>150</v>
      </c>
      <c r="BS28" s="238" t="s">
        <v>150</v>
      </c>
      <c r="BT28" s="238"/>
      <c r="BU28" s="238" t="s">
        <v>150</v>
      </c>
      <c r="BV28" s="146">
        <f>(CM23)</f>
        <v>0.002</v>
      </c>
      <c r="BW28" s="146">
        <f>MAX(AE12:AE42)</f>
        <v>0.01</v>
      </c>
      <c r="BX28" s="104" t="s">
        <v>128</v>
      </c>
      <c r="BY28" s="104"/>
      <c r="BZ28" s="104">
        <v>0</v>
      </c>
      <c r="CA28" s="144" t="s">
        <v>48</v>
      </c>
      <c r="CB28" s="104" t="s">
        <v>23</v>
      </c>
      <c r="CC28" s="136"/>
      <c r="CP28" s="3"/>
      <c r="CQ28" s="3"/>
      <c r="CR28" s="3"/>
      <c r="CS28" s="4"/>
      <c r="CT28" s="4"/>
      <c r="CU28" s="4"/>
      <c r="CV28" s="4"/>
      <c r="CW28" s="4"/>
      <c r="CX28" s="4"/>
      <c r="CY28" s="4"/>
      <c r="CZ28" s="4"/>
    </row>
    <row r="29" spans="1:104" ht="18" customHeight="1">
      <c r="A29" s="22">
        <v>18</v>
      </c>
      <c r="C29" s="84">
        <v>2851537</v>
      </c>
      <c r="D29" s="137">
        <f t="shared" si="0"/>
        <v>2.441</v>
      </c>
      <c r="E29" s="139">
        <v>4</v>
      </c>
      <c r="F29" s="140">
        <v>0.6</v>
      </c>
      <c r="G29" s="81" t="str">
        <f t="shared" si="8"/>
        <v>0.00</v>
      </c>
      <c r="H29" s="84">
        <v>0</v>
      </c>
      <c r="I29" s="85">
        <v>9750</v>
      </c>
      <c r="K29" s="86" t="s">
        <v>208</v>
      </c>
      <c r="L29" s="84">
        <v>65</v>
      </c>
      <c r="M29" s="87">
        <v>0</v>
      </c>
      <c r="O29" s="106"/>
      <c r="Q29" s="107">
        <v>20</v>
      </c>
      <c r="R29" s="152">
        <v>0.29</v>
      </c>
      <c r="S29" s="108"/>
      <c r="U29" s="92">
        <v>7.02</v>
      </c>
      <c r="V29" s="93">
        <v>6.91</v>
      </c>
      <c r="W29" s="94">
        <v>6.54</v>
      </c>
      <c r="Y29" s="89">
        <v>14.7</v>
      </c>
      <c r="Z29" s="95">
        <v>15</v>
      </c>
      <c r="AA29" s="91">
        <v>16.7</v>
      </c>
      <c r="AC29" s="92">
        <v>6</v>
      </c>
      <c r="AD29" s="90">
        <v>0.01</v>
      </c>
      <c r="AE29" s="96">
        <v>0</v>
      </c>
      <c r="AG29" s="45">
        <f t="shared" si="1"/>
        <v>18</v>
      </c>
      <c r="AH29" s="281"/>
      <c r="AI29" s="97">
        <v>293</v>
      </c>
      <c r="AJ29" s="55">
        <f t="shared" si="2"/>
        <v>5964.87642</v>
      </c>
      <c r="AK29" s="97">
        <v>166</v>
      </c>
      <c r="AL29" s="55">
        <f t="shared" si="3"/>
        <v>3379.4180399999996</v>
      </c>
      <c r="AM29" s="97">
        <v>20</v>
      </c>
      <c r="AN29" s="55">
        <f t="shared" si="4"/>
        <v>407.1587999999999</v>
      </c>
      <c r="AO29" s="109">
        <v>12</v>
      </c>
      <c r="AQ29" s="99">
        <v>244</v>
      </c>
      <c r="AR29" s="55">
        <f t="shared" si="5"/>
        <v>4967.3373599999995</v>
      </c>
      <c r="AS29" s="97">
        <v>71</v>
      </c>
      <c r="AT29" s="55">
        <f t="shared" si="6"/>
        <v>1445.4137399999997</v>
      </c>
      <c r="AU29" s="97">
        <v>20</v>
      </c>
      <c r="AV29" s="55">
        <f t="shared" si="7"/>
        <v>407.1587999999999</v>
      </c>
      <c r="AX29" s="99"/>
      <c r="AY29" s="100"/>
      <c r="AZ29" s="101"/>
      <c r="BA29" s="97"/>
      <c r="BB29" s="101"/>
      <c r="BC29" s="97"/>
      <c r="BD29" s="97"/>
      <c r="BE29" s="102"/>
      <c r="BG29" s="99"/>
      <c r="BH29" s="83"/>
      <c r="BI29" s="103"/>
      <c r="BK29" s="17"/>
      <c r="BL29" s="19"/>
      <c r="BM29" s="26" t="s">
        <v>86</v>
      </c>
      <c r="BN29" s="20"/>
      <c r="BO29" s="153" t="s">
        <v>131</v>
      </c>
      <c r="BP29" s="26"/>
      <c r="BQ29" s="237" t="s">
        <v>150</v>
      </c>
      <c r="BR29" s="237" t="s">
        <v>150</v>
      </c>
      <c r="BS29" s="237" t="s">
        <v>150</v>
      </c>
      <c r="BT29" s="238"/>
      <c r="BU29" s="237" t="s">
        <v>150</v>
      </c>
      <c r="BV29" s="155" t="s">
        <v>146</v>
      </c>
      <c r="BW29" s="155">
        <v>0.3</v>
      </c>
      <c r="BX29" s="155" t="s">
        <v>128</v>
      </c>
      <c r="BY29" s="104"/>
      <c r="BZ29" s="237" t="s">
        <v>150</v>
      </c>
      <c r="CA29" s="157" t="s">
        <v>48</v>
      </c>
      <c r="CB29" s="155" t="s">
        <v>23</v>
      </c>
      <c r="CC29" s="136"/>
      <c r="CP29" s="3"/>
      <c r="CQ29" s="3"/>
      <c r="CR29" s="3"/>
      <c r="CS29" s="4"/>
      <c r="CT29" s="4"/>
      <c r="CU29" s="4"/>
      <c r="CV29" s="4"/>
      <c r="CW29" s="4"/>
      <c r="CX29" s="4"/>
      <c r="CY29" s="4"/>
      <c r="CZ29" s="4"/>
    </row>
    <row r="30" spans="1:104" ht="18" customHeight="1">
      <c r="A30" s="22">
        <v>19</v>
      </c>
      <c r="C30" s="84">
        <v>2853931</v>
      </c>
      <c r="D30" s="137">
        <f t="shared" si="0"/>
        <v>2.394</v>
      </c>
      <c r="E30" s="139">
        <v>3.7</v>
      </c>
      <c r="F30" s="140">
        <v>0.2</v>
      </c>
      <c r="G30" s="81" t="str">
        <f t="shared" si="8"/>
        <v>0.00</v>
      </c>
      <c r="H30" s="84">
        <v>500</v>
      </c>
      <c r="I30" s="85">
        <v>500</v>
      </c>
      <c r="K30" s="86" t="s">
        <v>222</v>
      </c>
      <c r="L30" s="84">
        <v>59</v>
      </c>
      <c r="M30" s="87">
        <v>0.27</v>
      </c>
      <c r="O30" s="106"/>
      <c r="Q30" s="107">
        <v>19</v>
      </c>
      <c r="R30" s="152">
        <v>0.21</v>
      </c>
      <c r="S30" s="108"/>
      <c r="U30" s="92">
        <v>6.85</v>
      </c>
      <c r="V30" s="93">
        <v>6.86</v>
      </c>
      <c r="W30" s="94">
        <v>6.42</v>
      </c>
      <c r="Y30" s="89">
        <v>14.3</v>
      </c>
      <c r="Z30" s="95">
        <v>14.6</v>
      </c>
      <c r="AA30" s="91">
        <v>16</v>
      </c>
      <c r="AC30" s="92">
        <v>3.5</v>
      </c>
      <c r="AD30" s="90">
        <v>0</v>
      </c>
      <c r="AE30" s="96">
        <v>0</v>
      </c>
      <c r="AG30" s="45">
        <f t="shared" si="1"/>
        <v>19</v>
      </c>
      <c r="AH30" s="281"/>
      <c r="AI30" s="97"/>
      <c r="AJ30" s="55">
        <f t="shared" si="2"/>
      </c>
      <c r="AK30" s="97"/>
      <c r="AL30" s="55">
        <f t="shared" si="3"/>
      </c>
      <c r="AM30" s="97"/>
      <c r="AN30" s="55">
        <f t="shared" si="4"/>
      </c>
      <c r="AO30" s="109"/>
      <c r="AQ30" s="99"/>
      <c r="AR30" s="55">
        <f t="shared" si="5"/>
      </c>
      <c r="AS30" s="97"/>
      <c r="AT30" s="55">
        <f t="shared" si="6"/>
      </c>
      <c r="AU30" s="97"/>
      <c r="AV30" s="55">
        <f t="shared" si="7"/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3"/>
      <c r="CQ30" s="3"/>
      <c r="CR30" s="3"/>
      <c r="CS30" s="4"/>
      <c r="CT30" s="4"/>
      <c r="CU30" s="4"/>
      <c r="CV30" s="4"/>
      <c r="CW30" s="4"/>
      <c r="CX30" s="4"/>
      <c r="CY30" s="4"/>
      <c r="CZ30" s="4"/>
    </row>
    <row r="31" spans="1:104" ht="18" customHeight="1">
      <c r="A31" s="22">
        <v>20</v>
      </c>
      <c r="C31" s="112">
        <v>2855697</v>
      </c>
      <c r="D31" s="138">
        <f t="shared" si="0"/>
        <v>1.766</v>
      </c>
      <c r="E31" s="141">
        <v>3.6</v>
      </c>
      <c r="F31" s="142">
        <v>0.2</v>
      </c>
      <c r="G31" s="183" t="str">
        <f t="shared" si="8"/>
        <v>0.00</v>
      </c>
      <c r="H31" s="112">
        <v>0</v>
      </c>
      <c r="I31" s="113">
        <v>0</v>
      </c>
      <c r="K31" s="114" t="s">
        <v>209</v>
      </c>
      <c r="L31" s="112">
        <v>61</v>
      </c>
      <c r="M31" s="115">
        <v>0</v>
      </c>
      <c r="O31" s="116"/>
      <c r="Q31" s="258">
        <v>17</v>
      </c>
      <c r="R31" s="259">
        <v>0.33</v>
      </c>
      <c r="S31" s="264"/>
      <c r="U31" s="117">
        <v>6.78</v>
      </c>
      <c r="V31" s="118">
        <v>6.84</v>
      </c>
      <c r="W31" s="119">
        <v>6.39</v>
      </c>
      <c r="Y31" s="120">
        <v>14.8</v>
      </c>
      <c r="Z31" s="121">
        <v>14.8</v>
      </c>
      <c r="AA31" s="122">
        <v>15.9</v>
      </c>
      <c r="AC31" s="117">
        <v>2.5</v>
      </c>
      <c r="AD31" s="123">
        <v>0</v>
      </c>
      <c r="AE31" s="124">
        <v>0</v>
      </c>
      <c r="AG31" s="45">
        <f t="shared" si="1"/>
        <v>20</v>
      </c>
      <c r="AH31" s="281"/>
      <c r="AI31" s="125"/>
      <c r="AJ31" s="65">
        <f t="shared" si="2"/>
      </c>
      <c r="AK31" s="125"/>
      <c r="AL31" s="65">
        <f t="shared" si="3"/>
      </c>
      <c r="AM31" s="125"/>
      <c r="AN31" s="65">
        <f t="shared" si="4"/>
      </c>
      <c r="AO31" s="126"/>
      <c r="AQ31" s="127"/>
      <c r="AR31" s="65">
        <f t="shared" si="5"/>
      </c>
      <c r="AS31" s="125"/>
      <c r="AT31" s="65">
        <f t="shared" si="6"/>
      </c>
      <c r="AU31" s="125"/>
      <c r="AV31" s="65">
        <f t="shared" si="7"/>
      </c>
      <c r="AX31" s="127"/>
      <c r="AY31" s="128"/>
      <c r="AZ31" s="129"/>
      <c r="BA31" s="125"/>
      <c r="BB31" s="129"/>
      <c r="BC31" s="125"/>
      <c r="BD31" s="125"/>
      <c r="BE31" s="130"/>
      <c r="BG31" s="127"/>
      <c r="BH31" s="110"/>
      <c r="BI31" s="131"/>
      <c r="CP31" s="3"/>
      <c r="CQ31" s="3"/>
      <c r="CR31" s="3"/>
      <c r="CS31" s="4"/>
      <c r="CT31" s="4"/>
      <c r="CU31" s="4"/>
      <c r="CV31" s="4"/>
      <c r="CW31" s="4"/>
      <c r="CX31" s="4"/>
      <c r="CY31" s="4"/>
      <c r="CZ31" s="4"/>
    </row>
    <row r="32" spans="1:104" ht="18" customHeight="1">
      <c r="A32" s="22">
        <v>21</v>
      </c>
      <c r="C32" s="84">
        <v>2857801</v>
      </c>
      <c r="D32" s="137">
        <f t="shared" si="0"/>
        <v>2.104</v>
      </c>
      <c r="E32" s="139">
        <v>3.8</v>
      </c>
      <c r="F32" s="140">
        <v>0.6</v>
      </c>
      <c r="G32" s="81" t="str">
        <f t="shared" si="8"/>
        <v>0.00</v>
      </c>
      <c r="H32" s="84">
        <v>3850</v>
      </c>
      <c r="I32" s="85">
        <v>9250</v>
      </c>
      <c r="K32" s="86" t="s">
        <v>209</v>
      </c>
      <c r="L32" s="84">
        <v>66</v>
      </c>
      <c r="M32" s="87">
        <v>0</v>
      </c>
      <c r="O32" s="106"/>
      <c r="Q32" s="107">
        <v>16</v>
      </c>
      <c r="R32" s="152">
        <v>0.34</v>
      </c>
      <c r="S32" s="108">
        <v>10</v>
      </c>
      <c r="U32" s="92">
        <v>7.01</v>
      </c>
      <c r="V32" s="93">
        <v>6.92</v>
      </c>
      <c r="W32" s="94">
        <v>6.49</v>
      </c>
      <c r="Y32" s="89">
        <v>14.9</v>
      </c>
      <c r="Z32" s="95">
        <v>14.6</v>
      </c>
      <c r="AA32" s="91">
        <v>15.7</v>
      </c>
      <c r="AC32" s="92">
        <v>3.5</v>
      </c>
      <c r="AD32" s="90">
        <v>0.01</v>
      </c>
      <c r="AE32" s="96">
        <v>0</v>
      </c>
      <c r="AG32" s="45">
        <f t="shared" si="1"/>
        <v>21</v>
      </c>
      <c r="AH32" s="281"/>
      <c r="AI32" s="97"/>
      <c r="AJ32" s="55">
        <f t="shared" si="2"/>
      </c>
      <c r="AK32" s="97"/>
      <c r="AL32" s="55">
        <f t="shared" si="3"/>
      </c>
      <c r="AM32" s="97"/>
      <c r="AN32" s="55">
        <f t="shared" si="4"/>
      </c>
      <c r="AO32" s="109"/>
      <c r="AQ32" s="99"/>
      <c r="AR32" s="55">
        <f t="shared" si="5"/>
      </c>
      <c r="AS32" s="97"/>
      <c r="AT32" s="55">
        <f t="shared" si="6"/>
      </c>
      <c r="AU32" s="97"/>
      <c r="AV32" s="55">
        <f t="shared" si="7"/>
      </c>
      <c r="AX32" s="99">
        <v>64086</v>
      </c>
      <c r="AY32" s="100">
        <v>3</v>
      </c>
      <c r="AZ32" s="101">
        <v>4.25</v>
      </c>
      <c r="BA32" s="97">
        <v>40.3</v>
      </c>
      <c r="BB32" s="101">
        <v>28</v>
      </c>
      <c r="BC32" s="97">
        <v>24</v>
      </c>
      <c r="BD32" s="97"/>
      <c r="BE32" s="102"/>
      <c r="BG32" s="99">
        <v>24</v>
      </c>
      <c r="BH32" s="83" t="s">
        <v>210</v>
      </c>
      <c r="BI32" s="103" t="s">
        <v>211</v>
      </c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Q32" s="3"/>
      <c r="CR32" s="3"/>
      <c r="CS32" s="4"/>
      <c r="CT32" s="4"/>
      <c r="CU32" s="4"/>
      <c r="CV32" s="4"/>
      <c r="CW32" s="4"/>
      <c r="CX32" s="4"/>
      <c r="CY32" s="4"/>
      <c r="CZ32" s="4"/>
    </row>
    <row r="33" spans="1:104" ht="18" customHeight="1">
      <c r="A33" s="22">
        <v>22</v>
      </c>
      <c r="C33" s="84">
        <v>2860072</v>
      </c>
      <c r="D33" s="137">
        <f t="shared" si="0"/>
        <v>2.271</v>
      </c>
      <c r="E33" s="139">
        <v>3.6</v>
      </c>
      <c r="F33" s="140">
        <v>0.6</v>
      </c>
      <c r="G33" s="81" t="str">
        <f t="shared" si="8"/>
        <v>0.00</v>
      </c>
      <c r="H33" s="84">
        <v>1500</v>
      </c>
      <c r="I33" s="85">
        <v>6000</v>
      </c>
      <c r="K33" s="86" t="s">
        <v>213</v>
      </c>
      <c r="L33" s="84">
        <v>59</v>
      </c>
      <c r="M33" s="87">
        <v>0.22</v>
      </c>
      <c r="O33" s="106"/>
      <c r="Q33" s="107">
        <v>17</v>
      </c>
      <c r="R33" s="152">
        <v>0.36</v>
      </c>
      <c r="S33" s="108">
        <v>5</v>
      </c>
      <c r="U33" s="92">
        <v>7.02</v>
      </c>
      <c r="V33" s="93">
        <v>6.94</v>
      </c>
      <c r="W33" s="94">
        <v>6.7</v>
      </c>
      <c r="Y33" s="89">
        <v>14.8</v>
      </c>
      <c r="Z33" s="95">
        <v>15</v>
      </c>
      <c r="AA33" s="91">
        <v>16.4</v>
      </c>
      <c r="AC33" s="92">
        <v>6.5</v>
      </c>
      <c r="AD33" s="90">
        <v>0</v>
      </c>
      <c r="AE33" s="96">
        <v>0</v>
      </c>
      <c r="AG33" s="45">
        <f t="shared" si="1"/>
        <v>22</v>
      </c>
      <c r="AH33" s="281"/>
      <c r="AI33" s="97"/>
      <c r="AJ33" s="55">
        <f t="shared" si="2"/>
      </c>
      <c r="AK33" s="97"/>
      <c r="AL33" s="55">
        <f t="shared" si="3"/>
      </c>
      <c r="AM33" s="97"/>
      <c r="AN33" s="55">
        <f t="shared" si="4"/>
      </c>
      <c r="AO33" s="109"/>
      <c r="AQ33" s="99"/>
      <c r="AR33" s="55">
        <f t="shared" si="5"/>
      </c>
      <c r="AS33" s="97"/>
      <c r="AT33" s="55">
        <f t="shared" si="6"/>
      </c>
      <c r="AU33" s="97"/>
      <c r="AV33" s="55">
        <f t="shared" si="7"/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147">
        <f>(D47)</f>
        <v>2.4589</v>
      </c>
      <c r="BR33" s="147">
        <f>(D45)</f>
        <v>2.858</v>
      </c>
      <c r="BS33" s="104" t="s">
        <v>127</v>
      </c>
      <c r="BT33" s="104"/>
      <c r="BU33" s="238" t="s">
        <v>150</v>
      </c>
      <c r="BV33" s="238" t="s">
        <v>150</v>
      </c>
      <c r="BW33" s="238" t="s">
        <v>150</v>
      </c>
      <c r="BX33" s="238" t="s">
        <v>150</v>
      </c>
      <c r="BY33" s="104"/>
      <c r="BZ33" s="104">
        <v>0</v>
      </c>
      <c r="CA33" s="148" t="s">
        <v>24</v>
      </c>
      <c r="CB33" s="104" t="s">
        <v>25</v>
      </c>
      <c r="CC33" s="136"/>
      <c r="CJ33" s="338" t="s">
        <v>17</v>
      </c>
      <c r="CK33" s="340"/>
      <c r="CQ33" s="3"/>
      <c r="CR33" s="3"/>
      <c r="CS33" s="4"/>
      <c r="CT33" s="4"/>
      <c r="CU33" s="4"/>
      <c r="CV33" s="4"/>
      <c r="CW33" s="4"/>
      <c r="CX33" s="4"/>
      <c r="CY33" s="4"/>
      <c r="CZ33" s="4"/>
    </row>
    <row r="34" spans="1:104" ht="18" customHeight="1">
      <c r="A34" s="22">
        <v>23</v>
      </c>
      <c r="C34" s="84">
        <v>2862325</v>
      </c>
      <c r="D34" s="137">
        <f t="shared" si="0"/>
        <v>2.253</v>
      </c>
      <c r="E34" s="139">
        <v>3.6</v>
      </c>
      <c r="F34" s="140">
        <v>0.6</v>
      </c>
      <c r="G34" s="81" t="str">
        <f t="shared" si="8"/>
        <v>0.00</v>
      </c>
      <c r="H34" s="84">
        <v>3800</v>
      </c>
      <c r="I34" s="85">
        <v>10000</v>
      </c>
      <c r="K34" s="86" t="s">
        <v>209</v>
      </c>
      <c r="L34" s="84">
        <v>68</v>
      </c>
      <c r="M34" s="87">
        <v>0.01</v>
      </c>
      <c r="O34" s="106"/>
      <c r="Q34" s="107">
        <v>17</v>
      </c>
      <c r="R34" s="152">
        <v>0.26</v>
      </c>
      <c r="S34" s="108">
        <v>5</v>
      </c>
      <c r="U34" s="92">
        <v>7.08</v>
      </c>
      <c r="V34" s="93">
        <v>6.98</v>
      </c>
      <c r="W34" s="94">
        <v>6.45</v>
      </c>
      <c r="Y34" s="89">
        <v>15.2</v>
      </c>
      <c r="Z34" s="95">
        <v>15.2</v>
      </c>
      <c r="AA34" s="91">
        <v>16.5</v>
      </c>
      <c r="AC34" s="92">
        <v>5</v>
      </c>
      <c r="AD34" s="90">
        <v>0</v>
      </c>
      <c r="AE34" s="96">
        <v>0</v>
      </c>
      <c r="AG34" s="45">
        <f t="shared" si="1"/>
        <v>23</v>
      </c>
      <c r="AH34" s="281"/>
      <c r="AI34" s="97">
        <v>292</v>
      </c>
      <c r="AJ34" s="55">
        <f t="shared" si="2"/>
        <v>5486.68584</v>
      </c>
      <c r="AK34" s="97"/>
      <c r="AL34" s="55">
        <f t="shared" si="3"/>
      </c>
      <c r="AM34" s="97">
        <v>16</v>
      </c>
      <c r="AN34" s="55">
        <f t="shared" si="4"/>
        <v>300.64032000000003</v>
      </c>
      <c r="AO34" s="109">
        <v>12</v>
      </c>
      <c r="AQ34" s="99">
        <v>218</v>
      </c>
      <c r="AR34" s="55">
        <f t="shared" si="5"/>
        <v>4096.22436</v>
      </c>
      <c r="AS34" s="97"/>
      <c r="AT34" s="55">
        <f t="shared" si="6"/>
      </c>
      <c r="AU34" s="97">
        <v>22</v>
      </c>
      <c r="AV34" s="55">
        <f t="shared" si="7"/>
        <v>413.38044</v>
      </c>
      <c r="AX34" s="99"/>
      <c r="AY34" s="100"/>
      <c r="AZ34" s="101"/>
      <c r="BA34" s="97"/>
      <c r="BB34" s="101"/>
      <c r="BC34" s="97"/>
      <c r="BD34" s="97"/>
      <c r="BE34" s="102"/>
      <c r="BG34" s="99"/>
      <c r="BH34" s="83"/>
      <c r="BI34" s="103"/>
      <c r="BK34" s="17"/>
      <c r="BL34" s="19"/>
      <c r="BM34" s="26" t="s">
        <v>86</v>
      </c>
      <c r="BN34" s="20"/>
      <c r="BO34" s="153" t="s">
        <v>131</v>
      </c>
      <c r="BP34" s="26"/>
      <c r="BQ34" s="159">
        <v>3.85</v>
      </c>
      <c r="BR34" s="155" t="s">
        <v>146</v>
      </c>
      <c r="BS34" s="155" t="s">
        <v>127</v>
      </c>
      <c r="BT34" s="104"/>
      <c r="BU34" s="237" t="s">
        <v>150</v>
      </c>
      <c r="BV34" s="237" t="s">
        <v>150</v>
      </c>
      <c r="BW34" s="237" t="s">
        <v>150</v>
      </c>
      <c r="BX34" s="237" t="s">
        <v>150</v>
      </c>
      <c r="BY34" s="104"/>
      <c r="BZ34" s="237" t="s">
        <v>150</v>
      </c>
      <c r="CA34" s="160" t="s">
        <v>24</v>
      </c>
      <c r="CB34" s="155" t="s">
        <v>25</v>
      </c>
      <c r="CC34" s="136"/>
      <c r="CJ34" s="49"/>
      <c r="CK34" s="76"/>
      <c r="CQ34" s="3"/>
      <c r="CR34" s="3"/>
      <c r="CS34" s="4"/>
      <c r="CT34" s="4"/>
      <c r="CU34" s="4"/>
      <c r="CV34" s="4"/>
      <c r="CW34" s="4"/>
      <c r="CX34" s="4"/>
      <c r="CY34" s="4"/>
      <c r="CZ34" s="4"/>
    </row>
    <row r="35" spans="1:104" ht="18" customHeight="1">
      <c r="A35" s="22">
        <v>24</v>
      </c>
      <c r="C35" s="84">
        <v>2864769</v>
      </c>
      <c r="D35" s="137">
        <f t="shared" si="0"/>
        <v>2.444</v>
      </c>
      <c r="E35" s="139">
        <v>4</v>
      </c>
      <c r="F35" s="140">
        <v>0.6</v>
      </c>
      <c r="G35" s="81" t="str">
        <f t="shared" si="8"/>
        <v>0.00</v>
      </c>
      <c r="H35" s="84">
        <v>4000</v>
      </c>
      <c r="I35" s="85">
        <v>8750</v>
      </c>
      <c r="K35" s="86" t="s">
        <v>208</v>
      </c>
      <c r="L35" s="84">
        <v>57</v>
      </c>
      <c r="M35" s="87">
        <v>0</v>
      </c>
      <c r="O35" s="106"/>
      <c r="Q35" s="107">
        <v>17</v>
      </c>
      <c r="R35" s="152">
        <v>0.3</v>
      </c>
      <c r="S35" s="108"/>
      <c r="U35" s="92">
        <v>7.05</v>
      </c>
      <c r="V35" s="93">
        <v>6.95</v>
      </c>
      <c r="W35" s="94">
        <v>6.45</v>
      </c>
      <c r="Y35" s="89">
        <v>15</v>
      </c>
      <c r="Z35" s="95">
        <v>15.5</v>
      </c>
      <c r="AA35" s="91">
        <v>16.4</v>
      </c>
      <c r="AC35" s="92">
        <v>7</v>
      </c>
      <c r="AD35" s="90">
        <v>0.1</v>
      </c>
      <c r="AE35" s="96">
        <v>0</v>
      </c>
      <c r="AG35" s="45">
        <f t="shared" si="1"/>
        <v>24</v>
      </c>
      <c r="AH35" s="281"/>
      <c r="AI35" s="97">
        <v>281</v>
      </c>
      <c r="AJ35" s="55">
        <f t="shared" si="2"/>
        <v>5727.61176</v>
      </c>
      <c r="AK35" s="97"/>
      <c r="AL35" s="55">
        <f t="shared" si="3"/>
      </c>
      <c r="AM35" s="97">
        <v>17</v>
      </c>
      <c r="AN35" s="55">
        <f t="shared" si="4"/>
        <v>346.51032000000004</v>
      </c>
      <c r="AO35" s="109">
        <v>11</v>
      </c>
      <c r="AQ35" s="99">
        <v>340</v>
      </c>
      <c r="AR35" s="55">
        <f t="shared" si="5"/>
        <v>6930.2064</v>
      </c>
      <c r="AS35" s="97"/>
      <c r="AT35" s="55">
        <f t="shared" si="6"/>
      </c>
      <c r="AU35" s="97">
        <v>25</v>
      </c>
      <c r="AV35" s="55">
        <f t="shared" si="7"/>
        <v>509.574</v>
      </c>
      <c r="AX35" s="99">
        <v>48460</v>
      </c>
      <c r="AY35" s="100">
        <v>3</v>
      </c>
      <c r="AZ35" s="101">
        <v>3</v>
      </c>
      <c r="BA35" s="97">
        <v>31</v>
      </c>
      <c r="BB35" s="101">
        <v>31</v>
      </c>
      <c r="BC35" s="97">
        <v>24</v>
      </c>
      <c r="BD35" s="97">
        <v>1350</v>
      </c>
      <c r="BE35" s="102">
        <v>12.24</v>
      </c>
      <c r="BG35" s="99">
        <v>24</v>
      </c>
      <c r="BH35" s="83" t="s">
        <v>223</v>
      </c>
      <c r="BI35" s="103" t="s">
        <v>224</v>
      </c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Q35" s="3"/>
      <c r="CR35" s="3"/>
      <c r="CS35" s="4"/>
      <c r="CT35" s="4"/>
      <c r="CU35" s="4"/>
      <c r="CV35" s="4"/>
      <c r="CW35" s="4"/>
      <c r="CX35" s="4"/>
      <c r="CY35" s="4"/>
      <c r="CZ35" s="4"/>
    </row>
    <row r="36" spans="1:104" ht="18" customHeight="1">
      <c r="A36" s="22">
        <v>25</v>
      </c>
      <c r="C36" s="112">
        <v>2867016</v>
      </c>
      <c r="D36" s="138">
        <f t="shared" si="0"/>
        <v>2.247</v>
      </c>
      <c r="E36" s="141">
        <v>4</v>
      </c>
      <c r="F36" s="142">
        <v>0.6</v>
      </c>
      <c r="G36" s="183" t="str">
        <f t="shared" si="8"/>
        <v>0.00</v>
      </c>
      <c r="H36" s="112">
        <v>1000</v>
      </c>
      <c r="I36" s="113">
        <v>9500</v>
      </c>
      <c r="K36" s="114" t="s">
        <v>208</v>
      </c>
      <c r="L36" s="112">
        <v>62</v>
      </c>
      <c r="M36" s="115">
        <v>0.44</v>
      </c>
      <c r="O36" s="116"/>
      <c r="Q36" s="258">
        <v>17</v>
      </c>
      <c r="R36" s="259">
        <v>0.24</v>
      </c>
      <c r="S36" s="264"/>
      <c r="U36" s="117">
        <v>7.15</v>
      </c>
      <c r="V36" s="118">
        <v>7.01</v>
      </c>
      <c r="W36" s="119">
        <v>6.79</v>
      </c>
      <c r="Y36" s="120">
        <v>15.8</v>
      </c>
      <c r="Z36" s="121">
        <v>15.8</v>
      </c>
      <c r="AA36" s="122">
        <v>17</v>
      </c>
      <c r="AC36" s="117">
        <v>7.5</v>
      </c>
      <c r="AD36" s="123">
        <v>0.1</v>
      </c>
      <c r="AE36" s="124">
        <v>0</v>
      </c>
      <c r="AG36" s="45">
        <f t="shared" si="1"/>
        <v>25</v>
      </c>
      <c r="AH36" s="281"/>
      <c r="AI36" s="125">
        <v>259</v>
      </c>
      <c r="AJ36" s="65">
        <f t="shared" si="2"/>
        <v>4853.65482</v>
      </c>
      <c r="AK36" s="125">
        <v>179</v>
      </c>
      <c r="AL36" s="65">
        <f t="shared" si="3"/>
        <v>3354.4564199999995</v>
      </c>
      <c r="AM36" s="125">
        <v>16</v>
      </c>
      <c r="AN36" s="65">
        <f t="shared" si="4"/>
        <v>299.83968</v>
      </c>
      <c r="AO36" s="126">
        <v>11</v>
      </c>
      <c r="AQ36" s="127">
        <v>276</v>
      </c>
      <c r="AR36" s="65">
        <f t="shared" si="5"/>
        <v>5172.23448</v>
      </c>
      <c r="AS36" s="125">
        <v>79</v>
      </c>
      <c r="AT36" s="65">
        <f t="shared" si="6"/>
        <v>1480.4584199999997</v>
      </c>
      <c r="AU36" s="125">
        <v>22</v>
      </c>
      <c r="AV36" s="65">
        <f t="shared" si="7"/>
        <v>412.27955999999995</v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Q36" s="3"/>
      <c r="CR36" s="3"/>
      <c r="CS36" s="4"/>
      <c r="CT36" s="4"/>
      <c r="CU36" s="4"/>
      <c r="CV36" s="4"/>
      <c r="CW36" s="4"/>
      <c r="CX36" s="4"/>
      <c r="CY36" s="4"/>
      <c r="CZ36" s="4"/>
    </row>
    <row r="37" spans="1:104" ht="18" customHeight="1">
      <c r="A37" s="22">
        <v>26</v>
      </c>
      <c r="C37" s="84">
        <v>2869351</v>
      </c>
      <c r="D37" s="137">
        <f t="shared" si="0"/>
        <v>2.335</v>
      </c>
      <c r="E37" s="139">
        <v>3.7</v>
      </c>
      <c r="F37" s="140">
        <v>0.6</v>
      </c>
      <c r="G37" s="81" t="str">
        <f t="shared" si="8"/>
        <v>0.00</v>
      </c>
      <c r="H37" s="84">
        <v>0</v>
      </c>
      <c r="I37" s="85">
        <v>6500</v>
      </c>
      <c r="K37" s="86" t="s">
        <v>213</v>
      </c>
      <c r="L37" s="84">
        <v>61</v>
      </c>
      <c r="M37" s="87">
        <v>0.43</v>
      </c>
      <c r="O37" s="106"/>
      <c r="Q37" s="107">
        <v>19</v>
      </c>
      <c r="R37" s="152">
        <v>0.23</v>
      </c>
      <c r="S37" s="108"/>
      <c r="U37" s="92">
        <v>6.74</v>
      </c>
      <c r="V37" s="93">
        <v>6.77</v>
      </c>
      <c r="W37" s="94">
        <v>6.44</v>
      </c>
      <c r="Y37" s="89">
        <v>15</v>
      </c>
      <c r="Z37" s="95">
        <v>15</v>
      </c>
      <c r="AA37" s="91">
        <v>16.7</v>
      </c>
      <c r="AC37" s="92">
        <v>5</v>
      </c>
      <c r="AD37" s="90">
        <v>0.1</v>
      </c>
      <c r="AE37" s="96">
        <v>0</v>
      </c>
      <c r="AG37" s="45">
        <f t="shared" si="1"/>
        <v>26</v>
      </c>
      <c r="AH37" s="281"/>
      <c r="AI37" s="97"/>
      <c r="AJ37" s="55">
        <f t="shared" si="2"/>
      </c>
      <c r="AK37" s="97"/>
      <c r="AL37" s="55">
        <f t="shared" si="3"/>
      </c>
      <c r="AM37" s="97"/>
      <c r="AN37" s="55">
        <f t="shared" si="4"/>
      </c>
      <c r="AO37" s="109"/>
      <c r="AQ37" s="99"/>
      <c r="AR37" s="55">
        <f t="shared" si="5"/>
      </c>
      <c r="AS37" s="97"/>
      <c r="AT37" s="55">
        <f t="shared" si="6"/>
      </c>
      <c r="AU37" s="97"/>
      <c r="AV37" s="55">
        <f t="shared" si="7"/>
      </c>
      <c r="AX37" s="99"/>
      <c r="AY37" s="100"/>
      <c r="AZ37" s="101"/>
      <c r="BA37" s="97"/>
      <c r="BB37" s="101"/>
      <c r="BC37" s="97"/>
      <c r="BD37" s="97"/>
      <c r="BE37" s="102"/>
      <c r="BG37" s="99"/>
      <c r="BH37" s="83"/>
      <c r="BI37" s="103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4">
        <f>(IF(((SUM(AJ12:AJ42))=0)," ",(((AJ47-(D47*AO47*8.346))/AJ47)*100)))</f>
        <v>95.573671066007</v>
      </c>
      <c r="CK37" s="345"/>
      <c r="CQ37" s="3"/>
      <c r="CR37" s="3"/>
      <c r="CS37" s="4"/>
      <c r="CT37" s="4"/>
      <c r="CU37" s="4"/>
      <c r="CV37" s="4"/>
      <c r="CW37" s="4"/>
      <c r="CX37" s="4"/>
      <c r="CY37" s="4"/>
      <c r="CZ37" s="4"/>
    </row>
    <row r="38" spans="1:104" ht="18" customHeight="1">
      <c r="A38" s="22">
        <v>27</v>
      </c>
      <c r="C38" s="84">
        <v>2871587</v>
      </c>
      <c r="D38" s="137">
        <f t="shared" si="0"/>
        <v>2.236</v>
      </c>
      <c r="E38" s="139">
        <v>3.8</v>
      </c>
      <c r="F38" s="140">
        <v>0.6</v>
      </c>
      <c r="G38" s="81" t="str">
        <f t="shared" si="8"/>
        <v>0.00</v>
      </c>
      <c r="H38" s="84">
        <v>0</v>
      </c>
      <c r="I38" s="85">
        <v>0</v>
      </c>
      <c r="K38" s="86" t="s">
        <v>209</v>
      </c>
      <c r="L38" s="84">
        <v>63</v>
      </c>
      <c r="M38" s="87">
        <v>0</v>
      </c>
      <c r="O38" s="106"/>
      <c r="Q38" s="107">
        <v>17</v>
      </c>
      <c r="R38" s="152">
        <v>0.34</v>
      </c>
      <c r="S38" s="108"/>
      <c r="U38" s="92">
        <v>6.85</v>
      </c>
      <c r="V38" s="93">
        <v>6.83</v>
      </c>
      <c r="W38" s="94">
        <v>6.45</v>
      </c>
      <c r="Y38" s="89">
        <v>14.8</v>
      </c>
      <c r="Z38" s="95">
        <v>14.9</v>
      </c>
      <c r="AA38" s="91">
        <v>14.9</v>
      </c>
      <c r="AC38" s="92">
        <v>3.5</v>
      </c>
      <c r="AD38" s="90">
        <v>0.1</v>
      </c>
      <c r="AE38" s="96">
        <v>0</v>
      </c>
      <c r="AG38" s="45">
        <f t="shared" si="1"/>
        <v>27</v>
      </c>
      <c r="AH38" s="281"/>
      <c r="AI38" s="97"/>
      <c r="AJ38" s="55">
        <f t="shared" si="2"/>
      </c>
      <c r="AK38" s="97"/>
      <c r="AL38" s="55">
        <f t="shared" si="3"/>
      </c>
      <c r="AM38" s="97"/>
      <c r="AN38" s="55">
        <f t="shared" si="4"/>
      </c>
      <c r="AO38" s="109"/>
      <c r="AQ38" s="99"/>
      <c r="AR38" s="55">
        <f t="shared" si="5"/>
      </c>
      <c r="AS38" s="97"/>
      <c r="AT38" s="55">
        <f t="shared" si="6"/>
      </c>
      <c r="AU38" s="97"/>
      <c r="AV38" s="55">
        <f t="shared" si="7"/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38" t="s">
        <v>150</v>
      </c>
      <c r="BR38" s="238" t="s">
        <v>150</v>
      </c>
      <c r="BS38" s="238" t="s">
        <v>150</v>
      </c>
      <c r="BT38" s="104"/>
      <c r="BU38" s="145">
        <f>(AN49)</f>
        <v>93.52589079969863</v>
      </c>
      <c r="BV38" s="238" t="s">
        <v>150</v>
      </c>
      <c r="BW38" s="238" t="s">
        <v>150</v>
      </c>
      <c r="BX38" s="104" t="s">
        <v>129</v>
      </c>
      <c r="BY38" s="104"/>
      <c r="BZ38" s="104">
        <v>0</v>
      </c>
      <c r="CA38" s="144" t="s">
        <v>49</v>
      </c>
      <c r="CB38" s="104" t="s">
        <v>26</v>
      </c>
      <c r="CC38" s="136"/>
      <c r="CJ38" s="61"/>
      <c r="CK38" s="78"/>
      <c r="CQ38" s="3"/>
      <c r="CR38" s="3"/>
      <c r="CS38" s="4"/>
      <c r="CT38" s="4"/>
      <c r="CU38" s="4"/>
      <c r="CV38" s="4"/>
      <c r="CW38" s="4"/>
      <c r="CX38" s="4"/>
      <c r="CY38" s="4"/>
      <c r="CZ38" s="4"/>
    </row>
    <row r="39" spans="1:104" ht="18" customHeight="1">
      <c r="A39" s="22">
        <v>28</v>
      </c>
      <c r="C39" s="84">
        <v>2873787</v>
      </c>
      <c r="D39" s="137">
        <f t="shared" si="0"/>
        <v>2.2</v>
      </c>
      <c r="E39" s="139">
        <v>3.8</v>
      </c>
      <c r="F39" s="140">
        <v>0.6</v>
      </c>
      <c r="G39" s="81" t="str">
        <f t="shared" si="8"/>
        <v>0.00</v>
      </c>
      <c r="H39" s="84">
        <v>5350</v>
      </c>
      <c r="I39" s="85">
        <v>10000</v>
      </c>
      <c r="K39" s="86" t="s">
        <v>209</v>
      </c>
      <c r="L39" s="84">
        <v>63</v>
      </c>
      <c r="M39" s="87">
        <v>0</v>
      </c>
      <c r="O39" s="106"/>
      <c r="Q39" s="107">
        <v>16</v>
      </c>
      <c r="R39" s="152">
        <v>0.33</v>
      </c>
      <c r="S39" s="108">
        <v>2</v>
      </c>
      <c r="U39" s="92">
        <v>6.88</v>
      </c>
      <c r="V39" s="93">
        <v>6.82</v>
      </c>
      <c r="W39" s="94">
        <v>6.5</v>
      </c>
      <c r="Y39" s="89">
        <v>15</v>
      </c>
      <c r="Z39" s="95">
        <v>15.2</v>
      </c>
      <c r="AA39" s="91">
        <v>16.4</v>
      </c>
      <c r="AC39" s="92">
        <v>3.5</v>
      </c>
      <c r="AD39" s="90">
        <v>0.01</v>
      </c>
      <c r="AE39" s="96">
        <v>0</v>
      </c>
      <c r="AG39" s="45">
        <f t="shared" si="1"/>
        <v>28</v>
      </c>
      <c r="AH39" s="281"/>
      <c r="AI39" s="97"/>
      <c r="AJ39" s="55">
        <f t="shared" si="2"/>
      </c>
      <c r="AK39" s="97"/>
      <c r="AL39" s="55">
        <f t="shared" si="3"/>
      </c>
      <c r="AM39" s="97"/>
      <c r="AN39" s="55">
        <f t="shared" si="4"/>
      </c>
      <c r="AO39" s="109"/>
      <c r="AQ39" s="99"/>
      <c r="AR39" s="55">
        <f t="shared" si="5"/>
      </c>
      <c r="AS39" s="97"/>
      <c r="AT39" s="55">
        <f t="shared" si="6"/>
      </c>
      <c r="AU39" s="97"/>
      <c r="AV39" s="55">
        <f t="shared" si="7"/>
      </c>
      <c r="AX39" s="99">
        <v>53058</v>
      </c>
      <c r="AY39" s="100">
        <v>4</v>
      </c>
      <c r="AZ39" s="101">
        <v>3.25</v>
      </c>
      <c r="BA39" s="97">
        <v>34.1</v>
      </c>
      <c r="BB39" s="101">
        <v>33</v>
      </c>
      <c r="BC39" s="97">
        <v>24</v>
      </c>
      <c r="BD39" s="97">
        <v>1658</v>
      </c>
      <c r="BE39" s="102">
        <v>12.25</v>
      </c>
      <c r="BG39" s="99">
        <v>24</v>
      </c>
      <c r="BH39" s="83" t="s">
        <v>223</v>
      </c>
      <c r="BI39" s="103" t="s">
        <v>224</v>
      </c>
      <c r="BK39" s="17"/>
      <c r="BL39" s="19"/>
      <c r="BM39" s="26" t="s">
        <v>118</v>
      </c>
      <c r="BN39" s="20"/>
      <c r="BO39" s="153" t="s">
        <v>131</v>
      </c>
      <c r="BP39" s="26"/>
      <c r="BQ39" s="237" t="s">
        <v>150</v>
      </c>
      <c r="BR39" s="237" t="s">
        <v>150</v>
      </c>
      <c r="BS39" s="237" t="s">
        <v>150</v>
      </c>
      <c r="BT39" s="104"/>
      <c r="BU39" s="158">
        <v>85</v>
      </c>
      <c r="BV39" s="237" t="s">
        <v>150</v>
      </c>
      <c r="BW39" s="237" t="s">
        <v>150</v>
      </c>
      <c r="BX39" s="155" t="s">
        <v>129</v>
      </c>
      <c r="BY39" s="104"/>
      <c r="BZ39" s="237" t="s">
        <v>150</v>
      </c>
      <c r="CA39" s="157" t="s">
        <v>49</v>
      </c>
      <c r="CB39" s="155" t="s">
        <v>26</v>
      </c>
      <c r="CC39" s="136"/>
      <c r="CQ39" s="3"/>
      <c r="CR39" s="3"/>
      <c r="CS39" s="4"/>
      <c r="CT39" s="4"/>
      <c r="CU39" s="4"/>
      <c r="CV39" s="4"/>
      <c r="CW39" s="4"/>
      <c r="CX39" s="4"/>
      <c r="CY39" s="4"/>
      <c r="CZ39" s="4"/>
    </row>
    <row r="40" spans="1:104" ht="18" customHeight="1">
      <c r="A40" s="83">
        <v>29</v>
      </c>
      <c r="C40" s="84">
        <v>2876042</v>
      </c>
      <c r="D40" s="137">
        <f t="shared" si="0"/>
        <v>2.255</v>
      </c>
      <c r="E40" s="139">
        <v>3.8</v>
      </c>
      <c r="F40" s="140">
        <v>0.6</v>
      </c>
      <c r="G40" s="81" t="str">
        <f t="shared" si="8"/>
        <v>0.00</v>
      </c>
      <c r="H40" s="84">
        <v>3000</v>
      </c>
      <c r="I40" s="85">
        <v>10000</v>
      </c>
      <c r="K40" s="86" t="s">
        <v>208</v>
      </c>
      <c r="L40" s="84">
        <v>60</v>
      </c>
      <c r="M40" s="87">
        <v>0.19</v>
      </c>
      <c r="O40" s="106"/>
      <c r="Q40" s="107">
        <v>17</v>
      </c>
      <c r="R40" s="152">
        <v>0.33</v>
      </c>
      <c r="S40" s="108">
        <v>4</v>
      </c>
      <c r="U40" s="92">
        <v>7.12</v>
      </c>
      <c r="V40" s="93">
        <v>6.99</v>
      </c>
      <c r="W40" s="94">
        <v>6.52</v>
      </c>
      <c r="Y40" s="89">
        <v>15.6</v>
      </c>
      <c r="Z40" s="95">
        <v>15.6</v>
      </c>
      <c r="AA40" s="91">
        <v>16.8</v>
      </c>
      <c r="AC40" s="92">
        <v>8.5</v>
      </c>
      <c r="AD40" s="90">
        <v>0.01</v>
      </c>
      <c r="AE40" s="96">
        <v>0</v>
      </c>
      <c r="AG40" s="45">
        <f t="shared" si="1"/>
        <v>29</v>
      </c>
      <c r="AH40" s="281"/>
      <c r="AI40" s="97"/>
      <c r="AJ40" s="55">
        <f t="shared" si="2"/>
      </c>
      <c r="AK40" s="97"/>
      <c r="AL40" s="55">
        <f t="shared" si="3"/>
      </c>
      <c r="AM40" s="97"/>
      <c r="AN40" s="55">
        <f t="shared" si="4"/>
      </c>
      <c r="AO40" s="109"/>
      <c r="AQ40" s="99"/>
      <c r="AR40" s="55">
        <f t="shared" si="5"/>
      </c>
      <c r="AS40" s="97"/>
      <c r="AT40" s="55">
        <f t="shared" si="6"/>
      </c>
      <c r="AU40" s="97"/>
      <c r="AV40" s="55">
        <f t="shared" si="7"/>
      </c>
      <c r="AX40" s="99"/>
      <c r="AY40" s="100"/>
      <c r="AZ40" s="101"/>
      <c r="BA40" s="97"/>
      <c r="BB40" s="101"/>
      <c r="BC40" s="97"/>
      <c r="BD40" s="97"/>
      <c r="BE40" s="102"/>
      <c r="BG40" s="99"/>
      <c r="BH40" s="83"/>
      <c r="BI40" s="103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Q40" s="3"/>
      <c r="CR40" s="3"/>
      <c r="CS40" s="4"/>
      <c r="CT40" s="4"/>
      <c r="CU40" s="4"/>
      <c r="CV40" s="4"/>
      <c r="CW40" s="4"/>
      <c r="CX40" s="4"/>
      <c r="CY40" s="4"/>
      <c r="CZ40" s="4"/>
    </row>
    <row r="41" spans="1:104" ht="18" customHeight="1">
      <c r="A41" s="83">
        <v>30</v>
      </c>
      <c r="C41" s="84">
        <v>2878339</v>
      </c>
      <c r="D41" s="137">
        <f t="shared" si="0"/>
        <v>2.297</v>
      </c>
      <c r="E41" s="139">
        <v>4.4</v>
      </c>
      <c r="F41" s="140">
        <v>0.6</v>
      </c>
      <c r="G41" s="81" t="str">
        <f t="shared" si="8"/>
        <v>0.00</v>
      </c>
      <c r="H41" s="84">
        <v>5000</v>
      </c>
      <c r="I41" s="85">
        <v>9500</v>
      </c>
      <c r="K41" s="86" t="s">
        <v>209</v>
      </c>
      <c r="L41" s="84">
        <v>65</v>
      </c>
      <c r="M41" s="87">
        <v>0</v>
      </c>
      <c r="O41" s="106">
        <v>6</v>
      </c>
      <c r="Q41" s="107">
        <v>16</v>
      </c>
      <c r="R41" s="152">
        <v>0.25</v>
      </c>
      <c r="S41" s="108">
        <v>2</v>
      </c>
      <c r="U41" s="92">
        <v>7.02</v>
      </c>
      <c r="V41" s="93">
        <v>6.92</v>
      </c>
      <c r="W41" s="94">
        <v>6.47</v>
      </c>
      <c r="Y41" s="89">
        <v>15.5</v>
      </c>
      <c r="Z41" s="95">
        <v>15.3</v>
      </c>
      <c r="AA41" s="91">
        <v>16.8</v>
      </c>
      <c r="AC41" s="92">
        <v>6.5</v>
      </c>
      <c r="AD41" s="90">
        <v>0.01</v>
      </c>
      <c r="AE41" s="96">
        <v>0</v>
      </c>
      <c r="AG41" s="45">
        <f t="shared" si="1"/>
        <v>30</v>
      </c>
      <c r="AH41" s="281" t="s">
        <v>218</v>
      </c>
      <c r="AI41" s="97">
        <v>323</v>
      </c>
      <c r="AJ41" s="55">
        <f t="shared" si="2"/>
        <v>6187.704540000001</v>
      </c>
      <c r="AK41" s="97"/>
      <c r="AL41" s="55">
        <f t="shared" si="3"/>
      </c>
      <c r="AM41" s="97">
        <v>15</v>
      </c>
      <c r="AN41" s="55">
        <f t="shared" si="4"/>
        <v>287.35470000000004</v>
      </c>
      <c r="AO41" s="109">
        <v>11</v>
      </c>
      <c r="AQ41" s="99">
        <v>310</v>
      </c>
      <c r="AR41" s="55">
        <f t="shared" si="5"/>
        <v>5938.6638</v>
      </c>
      <c r="AS41" s="97"/>
      <c r="AT41" s="55">
        <f t="shared" si="6"/>
      </c>
      <c r="AU41" s="97">
        <v>23</v>
      </c>
      <c r="AV41" s="55">
        <f t="shared" si="7"/>
        <v>440.61054</v>
      </c>
      <c r="AX41" s="99"/>
      <c r="AY41" s="100"/>
      <c r="AZ41" s="101"/>
      <c r="BA41" s="97"/>
      <c r="BB41" s="101"/>
      <c r="BC41" s="97"/>
      <c r="BD41" s="97"/>
      <c r="BE41" s="102"/>
      <c r="BG41" s="99"/>
      <c r="BH41" s="83"/>
      <c r="BI41" s="103"/>
      <c r="CQ41" s="3"/>
      <c r="CR41" s="3"/>
      <c r="CS41" s="4"/>
      <c r="CT41" s="4"/>
      <c r="CU41" s="4"/>
      <c r="CV41" s="4"/>
      <c r="CW41" s="4"/>
      <c r="CX41" s="4"/>
      <c r="CY41" s="4"/>
      <c r="CZ41" s="4"/>
    </row>
    <row r="42" spans="1:104" ht="18" customHeight="1">
      <c r="A42" s="83">
        <v>31</v>
      </c>
      <c r="C42" s="112"/>
      <c r="D42" s="138" t="str">
        <f t="shared" si="0"/>
        <v> </v>
      </c>
      <c r="E42" s="141"/>
      <c r="F42" s="142"/>
      <c r="G42" s="183" t="str">
        <f t="shared" si="8"/>
        <v> </v>
      </c>
      <c r="H42" s="112"/>
      <c r="I42" s="113"/>
      <c r="K42" s="114"/>
      <c r="L42" s="112"/>
      <c r="M42" s="115"/>
      <c r="O42" s="116"/>
      <c r="Q42" s="132"/>
      <c r="R42" s="111"/>
      <c r="S42" s="113"/>
      <c r="U42" s="133"/>
      <c r="V42" s="134"/>
      <c r="W42" s="135"/>
      <c r="Y42" s="132"/>
      <c r="Z42" s="112"/>
      <c r="AA42" s="113"/>
      <c r="AC42" s="133"/>
      <c r="AD42" s="111"/>
      <c r="AE42" s="115"/>
      <c r="AG42" s="45">
        <f t="shared" si="1"/>
        <v>31</v>
      </c>
      <c r="AH42" s="281"/>
      <c r="AI42" s="125"/>
      <c r="AJ42" s="65">
        <f t="shared" si="2"/>
      </c>
      <c r="AK42" s="125"/>
      <c r="AL42" s="65">
        <f t="shared" si="3"/>
      </c>
      <c r="AM42" s="125"/>
      <c r="AN42" s="65">
        <f t="shared" si="4"/>
      </c>
      <c r="AO42" s="126"/>
      <c r="AQ42" s="127"/>
      <c r="AR42" s="65">
        <f t="shared" si="5"/>
      </c>
      <c r="AS42" s="125"/>
      <c r="AT42" s="65">
        <f t="shared" si="6"/>
      </c>
      <c r="AU42" s="125"/>
      <c r="AV42" s="65">
        <f t="shared" si="7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Q42" s="3"/>
      <c r="CR42" s="3"/>
      <c r="CS42" s="4"/>
      <c r="CT42" s="4"/>
      <c r="CU42" s="4"/>
      <c r="CV42" s="4"/>
      <c r="CW42" s="4"/>
      <c r="CX42" s="4"/>
      <c r="CY42" s="4"/>
      <c r="CZ42" s="4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38" t="s">
        <v>150</v>
      </c>
      <c r="BR43" s="238" t="s">
        <v>150</v>
      </c>
      <c r="BS43" s="238" t="s">
        <v>150</v>
      </c>
      <c r="BT43" s="104"/>
      <c r="BU43" s="145">
        <f>(AU49)</f>
        <v>90.41095890410958</v>
      </c>
      <c r="BV43" s="238" t="s">
        <v>150</v>
      </c>
      <c r="BW43" s="238" t="s">
        <v>150</v>
      </c>
      <c r="BX43" s="104" t="s">
        <v>129</v>
      </c>
      <c r="BY43" s="104"/>
      <c r="BZ43" s="104">
        <v>0</v>
      </c>
      <c r="CA43" s="144" t="s">
        <v>49</v>
      </c>
      <c r="CB43" s="104" t="s">
        <v>26</v>
      </c>
      <c r="CC43" s="136"/>
      <c r="CQ43" s="3"/>
      <c r="CR43" s="3"/>
      <c r="CS43" s="4"/>
      <c r="CT43" s="4"/>
      <c r="CU43" s="4"/>
      <c r="CV43" s="4"/>
      <c r="CW43" s="4"/>
      <c r="CX43" s="4"/>
      <c r="CY43" s="4"/>
      <c r="CZ43" s="4"/>
    </row>
    <row r="44" spans="1:104" ht="27.75" customHeight="1">
      <c r="A44" s="22" t="s">
        <v>52</v>
      </c>
      <c r="C44" s="188">
        <f>(IF(((SUM(C12:C42))=0)," ",((MAX(C12:C42))-C11)))</f>
        <v>73767</v>
      </c>
      <c r="D44" s="227">
        <f>(IF(((SUM(D12:D42))=0)," ",(SUM(D12:D42))))</f>
        <v>73.767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80600</v>
      </c>
      <c r="I44" s="195">
        <f>(IF(((SUM(I12:I42))=0)," ",(SUM(I12:I42))))</f>
        <v>201250</v>
      </c>
      <c r="K44" s="199" t="s">
        <v>150</v>
      </c>
      <c r="L44" s="200" t="s">
        <v>150</v>
      </c>
      <c r="M44" s="201">
        <f>(IF(((SUM(M12:M42))=0)," ",(SUM(M11:M42))))</f>
        <v>2.74</v>
      </c>
      <c r="O44" s="202">
        <f>(IF(((SUM(O12:O42))=0),"0.0",(SUM(O11:O42))))</f>
        <v>6</v>
      </c>
      <c r="Q44" s="198">
        <f>(IF(((SUM(Q12:Q42))=0),"0",(SUM(Q11:Q42))))</f>
        <v>527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466955</v>
      </c>
      <c r="AY44" s="200" t="s">
        <v>150</v>
      </c>
      <c r="AZ44" s="211">
        <f>(IF(((SUM(AZ12:AZ42))=0)," ",(SUM(AZ12:AZ42))))</f>
        <v>31.5</v>
      </c>
      <c r="BA44" s="198">
        <f>(IF(((SUM(BA12:BA42))=0)," ",(SUM(BA12:BA42))))</f>
        <v>316.20000000000005</v>
      </c>
      <c r="BB44" s="206" t="s">
        <v>150</v>
      </c>
      <c r="BC44" s="198">
        <f>(IF(((SUM(BC12:BC42))=0)," ",(SUM(BC12:BC42))))</f>
        <v>204</v>
      </c>
      <c r="BD44" s="188">
        <f>(IF(((SUM(BD12:BD42))=0)," ",(SUM(BD12:BD42))))</f>
        <v>3008</v>
      </c>
      <c r="BE44" s="209" t="s">
        <v>150</v>
      </c>
      <c r="BG44" s="212">
        <f>(IF(((SUM(BG12:BG42))=0)," ",(SUM(BG12:BG42))))</f>
        <v>204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37" t="s">
        <v>150</v>
      </c>
      <c r="BR44" s="237" t="s">
        <v>150</v>
      </c>
      <c r="BS44" s="237" t="s">
        <v>150</v>
      </c>
      <c r="BT44" s="104"/>
      <c r="BU44" s="158">
        <v>85</v>
      </c>
      <c r="BV44" s="237" t="s">
        <v>150</v>
      </c>
      <c r="BW44" s="237" t="s">
        <v>150</v>
      </c>
      <c r="BX44" s="155" t="s">
        <v>129</v>
      </c>
      <c r="BY44" s="104"/>
      <c r="BZ44" s="237" t="s">
        <v>150</v>
      </c>
      <c r="CA44" s="157" t="s">
        <v>49</v>
      </c>
      <c r="CB44" s="155" t="s">
        <v>26</v>
      </c>
      <c r="CC44" s="136"/>
      <c r="CQ44" s="3"/>
      <c r="CR44" s="3"/>
      <c r="CS44" s="4"/>
      <c r="CT44" s="4"/>
      <c r="CU44" s="4"/>
      <c r="CV44" s="4"/>
      <c r="CW44" s="4"/>
      <c r="CX44" s="4"/>
      <c r="CY44" s="4"/>
      <c r="CZ44" s="4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2.858</v>
      </c>
      <c r="E45" s="215">
        <f>(IF((SUM(E12:E42))=0," ",(MAX(E12:E42))))</f>
        <v>4.9</v>
      </c>
      <c r="F45" s="216">
        <f>(IF((SUM(F12:F42))=0," ",(MAX(F12:F42))))</f>
        <v>0.8</v>
      </c>
      <c r="G45" s="215">
        <f>(MAX(G12:G42))</f>
        <v>0</v>
      </c>
      <c r="H45" s="161">
        <f>(IF((SUM(H12:H42))=0," ",(MAX(H12:H42))))</f>
        <v>7300</v>
      </c>
      <c r="I45" s="162">
        <f>(IF((SUM(I12:I42))=0," ",(MAX(I12:I42))))</f>
        <v>10000</v>
      </c>
      <c r="K45" s="179" t="s">
        <v>150</v>
      </c>
      <c r="L45" s="182">
        <f>(IF((SUM(L12:L42))=0," ",(MAX(L12:L42))))</f>
        <v>75</v>
      </c>
      <c r="M45" s="218">
        <f>(IF((SUM(M12:M42))=0," ",(MAX(M12:M42))))</f>
        <v>0.54</v>
      </c>
      <c r="O45" s="219" t="s">
        <v>150</v>
      </c>
      <c r="Q45" s="220" t="s">
        <v>150</v>
      </c>
      <c r="R45" s="183">
        <f>(IF(((SUM(R12:R42))=0),"-",(MAX(R12:R42))))</f>
        <v>0.36</v>
      </c>
      <c r="S45" s="162">
        <f>(IF(((SUM(S12:S42))=0),"-",(MAX(S12:S42))))</f>
        <v>733</v>
      </c>
      <c r="U45" s="221">
        <f>(IF((SUM(U12:U42))=0," ",(MAX(U12:U42))))</f>
        <v>7.2</v>
      </c>
      <c r="V45" s="182">
        <f>(IF((SUM(V12:V42))=0," ",(MAX(V12:V42))))</f>
        <v>7.06</v>
      </c>
      <c r="W45" s="222">
        <f>(IF((SUM(W12:W42))=0," ",(MAX(W12:W42))))</f>
        <v>6.79</v>
      </c>
      <c r="Y45" s="217">
        <f>(IF((SUM(Y12:Y42))=0," ",(MAX(Y12:Y42))))</f>
        <v>15.8</v>
      </c>
      <c r="Z45" s="161">
        <f>(IF((SUM(Z12:Z42))=0," ",(MAX(Z12:Z42))))</f>
        <v>15.8</v>
      </c>
      <c r="AA45" s="162">
        <f>(IF((SUM(AA12:AA42))=0," ",(MAX(AA12:AA42))))</f>
        <v>17</v>
      </c>
      <c r="AC45" s="221">
        <f>(IF((SUM(AC12:AC42))=0," ",(MAX(AC12:AC42))))</f>
        <v>10</v>
      </c>
      <c r="AD45" s="183">
        <f>(IF((SUM(AD12:AD42))=0," ",(MAX(AD12:AD42))))</f>
        <v>0.2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323</v>
      </c>
      <c r="AJ45" s="161">
        <f t="shared" si="9"/>
        <v>6697.42032</v>
      </c>
      <c r="AK45" s="217">
        <f t="shared" si="9"/>
        <v>179</v>
      </c>
      <c r="AL45" s="162">
        <f t="shared" si="9"/>
        <v>3613.8554400000003</v>
      </c>
      <c r="AM45" s="217">
        <f t="shared" si="9"/>
        <v>20</v>
      </c>
      <c r="AN45" s="162">
        <f t="shared" si="9"/>
        <v>463.87080000000003</v>
      </c>
      <c r="AO45" s="223">
        <f t="shared" si="9"/>
        <v>20</v>
      </c>
      <c r="AQ45" s="217">
        <f aca="true" t="shared" si="10" ref="AQ45:AV45">(IF((SUM(AQ12:AQ42))=0," ",(MAX(AQ12:AQ42))))</f>
        <v>342</v>
      </c>
      <c r="AR45" s="162">
        <f t="shared" si="10"/>
        <v>7738.23564</v>
      </c>
      <c r="AS45" s="217">
        <f t="shared" si="10"/>
        <v>89</v>
      </c>
      <c r="AT45" s="162">
        <f t="shared" si="10"/>
        <v>1903.15464</v>
      </c>
      <c r="AU45" s="217">
        <f t="shared" si="10"/>
        <v>28</v>
      </c>
      <c r="AV45" s="162">
        <f t="shared" si="10"/>
        <v>649.41912</v>
      </c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33</v>
      </c>
      <c r="BC45" s="220" t="s">
        <v>150</v>
      </c>
      <c r="BD45" s="178" t="s">
        <v>150</v>
      </c>
      <c r="BE45" s="218">
        <f>(IF((SUM(BE12:BE42))=0," ",(MAX(BE12:BE42))))</f>
        <v>12.25</v>
      </c>
      <c r="BG45" s="225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Q45" s="3"/>
      <c r="CR45" s="3"/>
      <c r="CS45" s="4"/>
      <c r="CT45" s="4"/>
      <c r="CU45" s="4"/>
      <c r="CV45" s="4"/>
      <c r="CW45" s="4"/>
      <c r="CX45" s="4"/>
      <c r="CY45" s="4"/>
      <c r="CZ45" s="4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1.766</v>
      </c>
      <c r="E46" s="226">
        <f>(IF((SUM(E12:E42))=0," ",(MIN(E12:E42))))</f>
        <v>3.6</v>
      </c>
      <c r="F46" s="227">
        <f>(IF((SUM(F12:F42))=0," ",(MIN(F12:F42))))</f>
        <v>0.2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48</v>
      </c>
      <c r="M46" s="201">
        <f>(IF((SUM(M12:M42))=0," ",(MIN(M12:M42))))</f>
        <v>0</v>
      </c>
      <c r="O46" s="228" t="s">
        <v>150</v>
      </c>
      <c r="Q46" s="207" t="s">
        <v>150</v>
      </c>
      <c r="R46" s="190">
        <f>(IF(((SUM(R12:R42))=0),"-",(MIN(R12:R42))))</f>
        <v>0.2</v>
      </c>
      <c r="S46" s="195">
        <f>(IF(((SUM(S12:S42))=0),"-",(MIN(S12:S42))))</f>
        <v>2</v>
      </c>
      <c r="U46" s="229">
        <f>(IF((SUM(U12:U42))=0," ",(MIN(U12:U42))))</f>
        <v>6.74</v>
      </c>
      <c r="V46" s="191">
        <f>(IF((SUM(V12:V42))=0," ",(MIN(V12:V42))))</f>
        <v>6.77</v>
      </c>
      <c r="W46" s="211">
        <f>(IF((SUM(W12:W42))=0," ",(MIN(W12:W42))))</f>
        <v>6.27</v>
      </c>
      <c r="Y46" s="198">
        <f aca="true" t="shared" si="11" ref="Y46:AD46">(IF((SUM(Y12:Y42))=0," ",(MIN(Y12:Y42))))</f>
        <v>13.1</v>
      </c>
      <c r="Z46" s="188">
        <f t="shared" si="11"/>
        <v>12.9</v>
      </c>
      <c r="AA46" s="195">
        <f t="shared" si="11"/>
        <v>13.9</v>
      </c>
      <c r="AB46" t="str">
        <f t="shared" si="11"/>
        <v> </v>
      </c>
      <c r="AC46" s="229">
        <f t="shared" si="11"/>
        <v>2.5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221</v>
      </c>
      <c r="AJ46" s="188">
        <f t="shared" si="12"/>
        <v>4737.55368</v>
      </c>
      <c r="AK46" s="198">
        <f t="shared" si="12"/>
        <v>129</v>
      </c>
      <c r="AL46" s="195">
        <f t="shared" si="12"/>
        <v>3074.8078800000003</v>
      </c>
      <c r="AM46" s="198">
        <f t="shared" si="12"/>
        <v>15</v>
      </c>
      <c r="AN46" s="195">
        <f t="shared" si="12"/>
        <v>287.35470000000004</v>
      </c>
      <c r="AO46" s="230">
        <f t="shared" si="12"/>
        <v>8</v>
      </c>
      <c r="AQ46" s="198">
        <f aca="true" t="shared" si="13" ref="AQ46:AV46">(IF((SUM(AQ12:AQ42))=0," ",(MIN(AQ12:AQ42))))</f>
        <v>178</v>
      </c>
      <c r="AR46" s="195">
        <f t="shared" si="13"/>
        <v>3519.7969200000002</v>
      </c>
      <c r="AS46" s="198">
        <f t="shared" si="13"/>
        <v>71</v>
      </c>
      <c r="AT46" s="195">
        <f t="shared" si="13"/>
        <v>1445.4137399999997</v>
      </c>
      <c r="AU46" s="198">
        <f t="shared" si="13"/>
        <v>20</v>
      </c>
      <c r="AV46" s="195">
        <f t="shared" si="13"/>
        <v>407.1587999999999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26</v>
      </c>
      <c r="BC46" s="207" t="s">
        <v>150</v>
      </c>
      <c r="BD46" s="208" t="s">
        <v>150</v>
      </c>
      <c r="BE46" s="201">
        <f>(IF((SUM(BE12:BE42))=0," ",(MIN(BE12:BE42))))</f>
        <v>12.24</v>
      </c>
      <c r="BG46" s="231" t="s">
        <v>150</v>
      </c>
      <c r="BH46" s="213" t="s">
        <v>150</v>
      </c>
      <c r="BI46" s="214" t="s">
        <v>150</v>
      </c>
      <c r="CQ46" s="3"/>
      <c r="CR46" s="3"/>
      <c r="CS46" s="4"/>
      <c r="CT46" s="4"/>
      <c r="CU46" s="4"/>
      <c r="CV46" s="4"/>
      <c r="CW46" s="4"/>
      <c r="CX46" s="4"/>
      <c r="CY46" s="4"/>
      <c r="CZ46" s="4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2.4589</v>
      </c>
      <c r="E47" s="215">
        <f>(IF((SUM(E12:E42))=0," ",(AVERAGE(E12:E42))))</f>
        <v>3.999999999999999</v>
      </c>
      <c r="F47" s="216">
        <f>(IF((SUM(F12:F42))=0," ",(AVERAGE(F12:F42))))</f>
        <v>0.6333333333333333</v>
      </c>
      <c r="G47" s="215" t="str">
        <f>(IF((SUM(G12:G42))=0,"0.000",(AVERAGE(G12:G42))))</f>
        <v>0.000</v>
      </c>
      <c r="H47" s="161">
        <f>(IF((SUM(H12:H42))=0," ",(AVERAGE(H12:H42))))</f>
        <v>2686.6666666666665</v>
      </c>
      <c r="I47" s="162">
        <f>(IF((SUM(I12:I42))=0," ",(AVERAGE(I12:I42))))</f>
        <v>6708.333333333333</v>
      </c>
      <c r="K47" s="179" t="s">
        <v>150</v>
      </c>
      <c r="L47" s="182">
        <f>(IF((SUM(L12:L42))=0," ",(AVERAGE(L12:L42))))</f>
        <v>60.7</v>
      </c>
      <c r="M47" s="218">
        <f>(IF((SUM(M12:M42))=0," ",(AVERAGE(M12:M42))))</f>
        <v>0.09133333333333334</v>
      </c>
      <c r="O47" s="219" t="s">
        <v>150</v>
      </c>
      <c r="Q47" s="217">
        <f>(IF((SUM(Q12:Q42))=0," ",(AVERAGE(Q12:Q42))))</f>
        <v>17.566666666666666</v>
      </c>
      <c r="R47" s="232" t="s">
        <v>150</v>
      </c>
      <c r="S47" s="233" t="s">
        <v>150</v>
      </c>
      <c r="U47" s="221">
        <f>(IF((SUM(U12:U42))=0," ",(AVERAGE(U12:U42))))</f>
        <v>7.004666666666667</v>
      </c>
      <c r="V47" s="182">
        <f>(IF((SUM(V12:V42))=0," ",(AVERAGE(V12:V42))))</f>
        <v>6.933666666666665</v>
      </c>
      <c r="W47" s="222">
        <f>(IF((SUM(W12:W42))=0," ",(AVERAGE(W12:W42))))</f>
        <v>6.4899999999999975</v>
      </c>
      <c r="Y47" s="217">
        <f>(IF((SUM(Y12:Y42))=0," ",(AVERAGE(Y12:Y42))))</f>
        <v>14.440000000000001</v>
      </c>
      <c r="Z47" s="161">
        <f>(IF((SUM(Z12:Z42))=0," ",(AVERAGE(Z12:Z42))))</f>
        <v>14.456666666666669</v>
      </c>
      <c r="AA47" s="162">
        <f>(IF((SUM(AA12:AA42))=0," ",(AVERAGE(AA12:AA42))))</f>
        <v>15.686666666666662</v>
      </c>
      <c r="AC47" s="221">
        <f>(IF((SUM(AC12:AC42))=0," ",(AVERAGE(AC12:AC42))))</f>
        <v>5.816666666666666</v>
      </c>
      <c r="AD47" s="183">
        <f>(IF((SUM(AD12:AD42))=0," ",(AVERAGE(AD12:AD42))))</f>
        <v>0.033</v>
      </c>
      <c r="AE47" s="218">
        <f>(IF((COUNT(AE12:AE42))=0," ",(AVERAGE(AE12:AE42))))</f>
        <v>0.001</v>
      </c>
      <c r="AG47" s="26" t="str">
        <f>($A47)</f>
        <v>Average</v>
      </c>
      <c r="AI47" s="161">
        <f aca="true" t="shared" si="14" ref="AI47:AO47">(IF((SUM(AI12:AI42))=0," ",(AVERAGE(AI12:AI42))))</f>
        <v>267.2307692307692</v>
      </c>
      <c r="AJ47" s="161">
        <f t="shared" si="14"/>
        <v>5599.27584</v>
      </c>
      <c r="AK47" s="217">
        <f t="shared" si="14"/>
        <v>160.75</v>
      </c>
      <c r="AL47" s="162">
        <f t="shared" si="14"/>
        <v>3355.6344449999997</v>
      </c>
      <c r="AM47" s="217">
        <f t="shared" si="14"/>
        <v>17.153846153846153</v>
      </c>
      <c r="AN47" s="162">
        <f t="shared" si="14"/>
        <v>362.5032323076923</v>
      </c>
      <c r="AO47" s="223">
        <f t="shared" si="14"/>
        <v>12.076923076923077</v>
      </c>
      <c r="AQ47" s="217">
        <f aca="true" t="shared" si="15" ref="AQ47:AV47">(IF((SUM(AQ12:AQ42))=0," ",(AVERAGE(AQ12:AQ42))))</f>
        <v>247.07692307692307</v>
      </c>
      <c r="AR47" s="162">
        <f t="shared" si="15"/>
        <v>5193.475818461538</v>
      </c>
      <c r="AS47" s="217">
        <f t="shared" si="15"/>
        <v>79.25</v>
      </c>
      <c r="AT47" s="162">
        <f t="shared" si="15"/>
        <v>1672.05324</v>
      </c>
      <c r="AU47" s="217">
        <f t="shared" si="15"/>
        <v>23.692307692307693</v>
      </c>
      <c r="AV47" s="162">
        <f t="shared" si="15"/>
        <v>501.39053538461536</v>
      </c>
      <c r="AX47" s="217">
        <f aca="true" t="shared" si="16" ref="AX47:BE47">(IF((SUM(AX12:AX42))=0," ",(AVERAGE(AX12:AX42))))</f>
        <v>46695.5</v>
      </c>
      <c r="AY47" s="182">
        <f t="shared" si="16"/>
        <v>3.4</v>
      </c>
      <c r="AZ47" s="222">
        <f t="shared" si="16"/>
        <v>3.15</v>
      </c>
      <c r="BA47" s="217">
        <f t="shared" si="16"/>
        <v>31.620000000000005</v>
      </c>
      <c r="BB47" s="222">
        <f t="shared" si="16"/>
        <v>28.4</v>
      </c>
      <c r="BC47" s="217">
        <f t="shared" si="16"/>
        <v>20.4</v>
      </c>
      <c r="BD47" s="161">
        <f t="shared" si="16"/>
        <v>1504</v>
      </c>
      <c r="BE47" s="218">
        <f t="shared" si="16"/>
        <v>12.245000000000001</v>
      </c>
      <c r="BG47" s="132">
        <f>(IF((SUM(BG12:BG42))=0," ",(AVERAGE(BG12:BG42))))</f>
        <v>20.4</v>
      </c>
      <c r="BH47" s="180" t="s">
        <v>150</v>
      </c>
      <c r="BI47" s="181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Q47" s="3"/>
      <c r="CR47" s="3"/>
      <c r="CS47" s="4"/>
      <c r="CT47" s="4"/>
      <c r="CU47" s="4"/>
      <c r="CV47" s="4"/>
      <c r="CW47" s="4"/>
      <c r="CX47" s="4"/>
      <c r="CY47" s="4"/>
      <c r="CZ47" s="4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62" t="s">
        <v>203</v>
      </c>
      <c r="BR48" s="238" t="s">
        <v>150</v>
      </c>
      <c r="BS48" s="262" t="s">
        <v>203</v>
      </c>
      <c r="BT48" s="104"/>
      <c r="BU48" s="238" t="s">
        <v>150</v>
      </c>
      <c r="BV48" s="143">
        <f>(S49)</f>
        <v>15.979268278002108</v>
      </c>
      <c r="BW48" s="143">
        <f>(S45)</f>
        <v>733</v>
      </c>
      <c r="BX48" s="238" t="s">
        <v>150</v>
      </c>
      <c r="BY48" s="104"/>
      <c r="BZ48" s="104">
        <v>0</v>
      </c>
      <c r="CA48" s="148" t="s">
        <v>205</v>
      </c>
      <c r="CB48" s="104" t="s">
        <v>23</v>
      </c>
      <c r="CC48" s="27"/>
      <c r="CQ48" s="3"/>
      <c r="CR48" s="3"/>
      <c r="CS48" s="4"/>
      <c r="CT48" s="4"/>
      <c r="CU48" s="4"/>
      <c r="CV48" s="4"/>
      <c r="CW48" s="4"/>
      <c r="CX48" s="4"/>
      <c r="CY48" s="4"/>
      <c r="CZ48" s="4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>
        <f>(IF(((SUM(S12:S42))=0),"-",(GEOMEAN(S12:S42))))</f>
        <v>15.979268278002108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93.52589079969863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90.41095890410958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6"/>
      <c r="BL49" s="291"/>
      <c r="BM49" s="104" t="s">
        <v>86</v>
      </c>
      <c r="BN49" s="240"/>
      <c r="BO49" s="292" t="s">
        <v>131</v>
      </c>
      <c r="BP49" s="240"/>
      <c r="BQ49" s="261" t="s">
        <v>203</v>
      </c>
      <c r="BR49" s="237" t="s">
        <v>150</v>
      </c>
      <c r="BS49" s="261" t="s">
        <v>203</v>
      </c>
      <c r="BT49" s="104"/>
      <c r="BU49" s="237" t="s">
        <v>150</v>
      </c>
      <c r="BV49" s="156">
        <v>142</v>
      </c>
      <c r="BW49" s="156">
        <v>949</v>
      </c>
      <c r="BX49" s="263" t="s">
        <v>204</v>
      </c>
      <c r="BY49" s="104"/>
      <c r="BZ49" s="237" t="s">
        <v>150</v>
      </c>
      <c r="CA49" s="160" t="s">
        <v>205</v>
      </c>
      <c r="CB49" s="155" t="s">
        <v>23</v>
      </c>
      <c r="CC49" s="293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Q49" s="3"/>
      <c r="CR49" s="3"/>
      <c r="CS49" s="4"/>
      <c r="CT49" s="4"/>
      <c r="CU49" s="4"/>
      <c r="CV49" s="4"/>
      <c r="CW49" s="4"/>
      <c r="CX49" s="4"/>
      <c r="CY49" s="4"/>
      <c r="CZ49" s="4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90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6"/>
      <c r="BL50" s="294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6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Q50" s="3"/>
      <c r="CR50" s="3"/>
      <c r="CS50" s="4"/>
      <c r="CT50" s="4"/>
      <c r="CU50" s="4"/>
      <c r="CV50" s="4"/>
      <c r="CW50" s="4"/>
      <c r="CX50" s="4"/>
      <c r="CY50" s="4"/>
      <c r="CZ50" s="4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90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 t="s">
        <v>218</v>
      </c>
      <c r="AI52" s="282" t="s">
        <v>225</v>
      </c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302"/>
      <c r="BM52" s="303"/>
      <c r="BN52" s="303"/>
      <c r="BO52" s="303"/>
      <c r="BP52" s="303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5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4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91"/>
      <c r="BM53" s="240" t="s">
        <v>206</v>
      </c>
      <c r="BN53" s="240"/>
      <c r="BO53" s="297" t="s">
        <v>130</v>
      </c>
      <c r="BP53" s="240"/>
      <c r="BQ53" s="262" t="s">
        <v>203</v>
      </c>
      <c r="BR53" s="238" t="s">
        <v>150</v>
      </c>
      <c r="BS53" s="262" t="s">
        <v>203</v>
      </c>
      <c r="BT53" s="104"/>
      <c r="BU53" s="238" t="s">
        <v>150</v>
      </c>
      <c r="BV53" s="238" t="s">
        <v>150</v>
      </c>
      <c r="BW53" s="146">
        <f>(R45)</f>
        <v>0.36</v>
      </c>
      <c r="BX53" s="238" t="s">
        <v>150</v>
      </c>
      <c r="BY53" s="104"/>
      <c r="BZ53" s="104">
        <v>0</v>
      </c>
      <c r="CA53" s="148" t="s">
        <v>207</v>
      </c>
      <c r="CB53" s="104" t="s">
        <v>23</v>
      </c>
      <c r="CC53" s="293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4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91"/>
      <c r="BM54" s="104" t="s">
        <v>86</v>
      </c>
      <c r="BN54" s="240"/>
      <c r="BO54" s="292" t="s">
        <v>131</v>
      </c>
      <c r="BP54" s="240"/>
      <c r="BQ54" s="261" t="s">
        <v>203</v>
      </c>
      <c r="BR54" s="237" t="s">
        <v>150</v>
      </c>
      <c r="BS54" s="261" t="s">
        <v>203</v>
      </c>
      <c r="BT54" s="104"/>
      <c r="BU54" s="237" t="s">
        <v>150</v>
      </c>
      <c r="BV54" s="237" t="s">
        <v>150</v>
      </c>
      <c r="BW54" s="263">
        <v>0.86</v>
      </c>
      <c r="BX54" s="263" t="s">
        <v>44</v>
      </c>
      <c r="BY54" s="104"/>
      <c r="BZ54" s="237" t="s">
        <v>150</v>
      </c>
      <c r="CA54" s="157" t="s">
        <v>207</v>
      </c>
      <c r="CB54" s="155" t="s">
        <v>23</v>
      </c>
      <c r="CC54" s="293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4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94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6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4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4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4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4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4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4"/>
    </row>
    <row r="61" spans="66:93" ht="15" customHeight="1">
      <c r="BN61" s="4"/>
      <c r="BP61" s="4"/>
      <c r="BT61" s="4"/>
      <c r="BY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66:93" ht="15" customHeight="1">
      <c r="BN62" s="4"/>
      <c r="BP62" s="4"/>
      <c r="BT62" s="4"/>
      <c r="BY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66:93" ht="15" customHeight="1">
      <c r="BN63" s="4"/>
      <c r="BP63" s="4"/>
      <c r="BT63" s="4"/>
      <c r="BY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82:93" ht="15" customHeight="1"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82:93" ht="15" customHeight="1"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82:93" ht="15" customHeight="1"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82:93" ht="15" customHeight="1"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82:93" ht="15" customHeight="1"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82:93" ht="15" customHeight="1"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82:93" ht="15" customHeight="1"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82:93" ht="15" customHeight="1"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82:93" ht="15" customHeight="1"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</sheetData>
  <sheetProtection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55" r:id="rId1"/>
  <colBreaks count="2" manualBreakCount="2">
    <brk id="32" max="55" man="1"/>
    <brk id="62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B1"/>
      <c r="C1" s="6"/>
      <c r="D1" s="6"/>
      <c r="E1" s="6"/>
      <c r="F1" s="7"/>
      <c r="G1" s="8"/>
      <c r="H1" s="8"/>
      <c r="I1" s="8"/>
      <c r="J1"/>
      <c r="K1" s="7"/>
      <c r="L1" s="7"/>
      <c r="M1" s="7"/>
      <c r="N1" s="7"/>
      <c r="O1" s="8"/>
      <c r="P1" s="9" t="s">
        <v>148</v>
      </c>
      <c r="Q1" s="8"/>
      <c r="R1" s="7"/>
      <c r="S1" s="7"/>
      <c r="T1"/>
      <c r="U1" s="8"/>
      <c r="V1" s="8"/>
      <c r="W1" s="8"/>
      <c r="X1"/>
      <c r="Y1" s="10"/>
      <c r="Z1" s="7"/>
      <c r="AA1" s="10"/>
      <c r="AB1" s="10" t="s">
        <v>89</v>
      </c>
      <c r="AC1" s="10"/>
      <c r="AD1" s="7"/>
      <c r="AE1" s="10" t="s">
        <v>50</v>
      </c>
      <c r="AF1"/>
      <c r="AG1" s="7" t="str">
        <f>($A$1)</f>
        <v>BRUNSWICK SEWER DISTRICT</v>
      </c>
      <c r="AH1"/>
      <c r="AI1" s="7"/>
      <c r="AJ1" s="7"/>
      <c r="AK1" s="7"/>
      <c r="AL1" s="7"/>
      <c r="AM1" s="7"/>
      <c r="AN1" s="7"/>
      <c r="AO1" s="7"/>
      <c r="AP1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F1"/>
      <c r="BG1" s="7"/>
      <c r="BH1" s="10"/>
      <c r="BI1" s="10"/>
      <c r="BJ1"/>
      <c r="BK1" s="7" t="str">
        <f>($A$1)</f>
        <v>BRUNSWICK SEWER DISTRICT</v>
      </c>
      <c r="BL1"/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D1"/>
      <c r="CE1" s="7"/>
      <c r="CF1" s="7"/>
      <c r="CG1" s="7"/>
      <c r="CH1" s="7"/>
      <c r="CI1" s="7"/>
      <c r="CJ1" s="7"/>
      <c r="CK1" s="7"/>
      <c r="CL1" s="7"/>
      <c r="CM1" s="7"/>
      <c r="CN1" s="7"/>
      <c r="CO1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B2"/>
      <c r="C2" s="9"/>
      <c r="D2" s="9"/>
      <c r="E2" s="10" t="s">
        <v>196</v>
      </c>
      <c r="F2" s="7"/>
      <c r="G2" s="177">
        <v>2004</v>
      </c>
      <c r="H2" s="8"/>
      <c r="I2" s="7"/>
      <c r="J2"/>
      <c r="K2" s="8"/>
      <c r="L2" s="8"/>
      <c r="M2" s="7"/>
      <c r="N2" s="7"/>
      <c r="O2" s="8"/>
      <c r="P2" s="9" t="s">
        <v>137</v>
      </c>
      <c r="Q2" s="8"/>
      <c r="R2" s="8"/>
      <c r="S2" s="7"/>
      <c r="T2"/>
      <c r="U2" s="7"/>
      <c r="V2" s="7"/>
      <c r="W2" s="7"/>
      <c r="X2"/>
      <c r="Y2" s="7"/>
      <c r="Z2" s="7"/>
      <c r="AA2" s="7"/>
      <c r="AB2"/>
      <c r="AC2" s="7"/>
      <c r="AD2" s="7"/>
      <c r="AE2" s="10" t="s">
        <v>51</v>
      </c>
      <c r="AF2"/>
      <c r="AG2" s="7" t="str">
        <f>($A$2)</f>
        <v>Discharge Monthly Report :</v>
      </c>
      <c r="AH2"/>
      <c r="AI2" s="7"/>
      <c r="AJ2" s="7"/>
      <c r="AK2" s="10" t="str">
        <f>($E$2)</f>
        <v>July</v>
      </c>
      <c r="AL2" s="6">
        <f>($G$2)</f>
        <v>2004</v>
      </c>
      <c r="AM2" s="7"/>
      <c r="AN2" s="7"/>
      <c r="AO2" s="7"/>
      <c r="AP2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F2"/>
      <c r="BG2" s="7"/>
      <c r="BH2" s="341" t="s">
        <v>115</v>
      </c>
      <c r="BI2" s="341"/>
      <c r="BJ2"/>
      <c r="BK2" s="7" t="str">
        <f>($A$2)</f>
        <v>Discharge Monthly Report :</v>
      </c>
      <c r="BL2"/>
      <c r="BM2" s="7"/>
      <c r="BN2" s="7"/>
      <c r="BO2" s="7"/>
      <c r="BP2" s="7"/>
      <c r="BQ2" s="10" t="str">
        <f>($E$2)</f>
        <v>July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D2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O2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B3"/>
      <c r="C3" s="12"/>
      <c r="D3" s="12"/>
      <c r="E3" s="13"/>
      <c r="F3" s="14"/>
      <c r="G3" s="14"/>
      <c r="H3" s="14"/>
      <c r="I3" s="13"/>
      <c r="J3"/>
      <c r="K3" s="14"/>
      <c r="L3" s="14"/>
      <c r="M3" s="13"/>
      <c r="N3"/>
      <c r="O3" s="14"/>
      <c r="P3"/>
      <c r="Q3" s="14"/>
      <c r="R3" s="14"/>
      <c r="S3" s="13"/>
      <c r="T3"/>
      <c r="U3" s="13"/>
      <c r="V3" s="13"/>
      <c r="W3" s="13"/>
      <c r="X3"/>
      <c r="Y3" s="13"/>
      <c r="Z3" s="13"/>
      <c r="AA3" s="13"/>
      <c r="AB3"/>
      <c r="AC3" s="13"/>
      <c r="AD3" s="13"/>
      <c r="AE3" s="13"/>
      <c r="AF3"/>
      <c r="AG3" s="13"/>
      <c r="AH3"/>
      <c r="AI3" s="13"/>
      <c r="AJ3" s="13"/>
      <c r="AK3" s="13"/>
      <c r="AL3" s="13"/>
      <c r="AM3" s="13"/>
      <c r="AN3" s="13"/>
      <c r="AO3" s="13"/>
      <c r="AP3"/>
      <c r="AQ3" s="13"/>
      <c r="AR3" s="13"/>
      <c r="AS3" s="13"/>
      <c r="AT3" s="13"/>
      <c r="AU3" s="13"/>
      <c r="AV3" s="13"/>
      <c r="AW3"/>
      <c r="AX3" s="13"/>
      <c r="AY3" s="13"/>
      <c r="AZ3" s="13"/>
      <c r="BA3" s="13"/>
      <c r="BB3" s="13"/>
      <c r="BC3" s="13"/>
      <c r="BD3" s="13"/>
      <c r="BE3" s="13"/>
      <c r="BF3"/>
      <c r="BG3" s="13"/>
      <c r="BH3" s="13"/>
      <c r="BI3" s="1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B4"/>
      <c r="C4" s="12"/>
      <c r="D4" s="12"/>
      <c r="E4" s="13"/>
      <c r="F4" s="14"/>
      <c r="G4" s="14"/>
      <c r="H4" s="14"/>
      <c r="I4" s="13"/>
      <c r="J4"/>
      <c r="K4" s="14"/>
      <c r="L4" s="14"/>
      <c r="M4" s="13"/>
      <c r="N4"/>
      <c r="O4" s="14"/>
      <c r="P4"/>
      <c r="Q4" s="14"/>
      <c r="R4" s="14"/>
      <c r="S4" s="13"/>
      <c r="T4"/>
      <c r="U4" s="13"/>
      <c r="V4" s="13"/>
      <c r="W4" s="13"/>
      <c r="X4"/>
      <c r="Y4" s="13"/>
      <c r="Z4" s="13"/>
      <c r="AA4" s="13"/>
      <c r="AB4"/>
      <c r="AC4" s="328" t="s">
        <v>8</v>
      </c>
      <c r="AD4" s="329"/>
      <c r="AE4" s="330"/>
      <c r="AF4"/>
      <c r="AG4" s="13"/>
      <c r="AH4"/>
      <c r="AI4" s="13"/>
      <c r="AJ4" s="13"/>
      <c r="AK4" s="13"/>
      <c r="AL4" s="13"/>
      <c r="AM4" s="13"/>
      <c r="AN4" s="13"/>
      <c r="AO4" s="13"/>
      <c r="AP4"/>
      <c r="AQ4" s="13"/>
      <c r="AR4" s="13"/>
      <c r="AS4" s="13"/>
      <c r="AT4" s="13"/>
      <c r="AU4" s="13"/>
      <c r="AV4" s="13"/>
      <c r="AW4"/>
      <c r="AX4" s="13"/>
      <c r="AY4" s="13"/>
      <c r="AZ4" s="13"/>
      <c r="BA4" s="13"/>
      <c r="BB4" s="13"/>
      <c r="BC4" s="13"/>
      <c r="BD4" s="13"/>
      <c r="BE4" s="13"/>
      <c r="BF4"/>
      <c r="BG4" s="13"/>
      <c r="BH4" s="13"/>
      <c r="BI4" s="13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B5"/>
      <c r="C5" s="325" t="s">
        <v>1</v>
      </c>
      <c r="D5" s="326"/>
      <c r="E5" s="326"/>
      <c r="F5" s="326"/>
      <c r="G5" s="326"/>
      <c r="H5" s="326"/>
      <c r="I5" s="327"/>
      <c r="J5"/>
      <c r="K5" s="325" t="s">
        <v>3</v>
      </c>
      <c r="L5" s="326"/>
      <c r="M5" s="327"/>
      <c r="N5"/>
      <c r="O5" s="13"/>
      <c r="P5"/>
      <c r="Q5" s="325" t="s">
        <v>5</v>
      </c>
      <c r="R5" s="326"/>
      <c r="S5" s="327"/>
      <c r="T5"/>
      <c r="U5" s="325" t="s">
        <v>6</v>
      </c>
      <c r="V5" s="326"/>
      <c r="W5" s="327"/>
      <c r="X5"/>
      <c r="Y5" s="325" t="s">
        <v>7</v>
      </c>
      <c r="Z5" s="326"/>
      <c r="AA5" s="327"/>
      <c r="AB5"/>
      <c r="AC5" s="331" t="s">
        <v>9</v>
      </c>
      <c r="AD5" s="332"/>
      <c r="AE5" s="333"/>
      <c r="AF5"/>
      <c r="AG5" s="13"/>
      <c r="AH5"/>
      <c r="AI5" s="325" t="s">
        <v>16</v>
      </c>
      <c r="AJ5" s="326"/>
      <c r="AK5" s="326"/>
      <c r="AL5" s="326"/>
      <c r="AM5" s="326"/>
      <c r="AN5" s="326"/>
      <c r="AO5" s="327"/>
      <c r="AP5"/>
      <c r="AQ5" s="325" t="s">
        <v>18</v>
      </c>
      <c r="AR5" s="326"/>
      <c r="AS5" s="326"/>
      <c r="AT5" s="326"/>
      <c r="AU5" s="326"/>
      <c r="AV5" s="327"/>
      <c r="AW5"/>
      <c r="AX5" s="325" t="s">
        <v>46</v>
      </c>
      <c r="AY5" s="326"/>
      <c r="AZ5" s="326"/>
      <c r="BA5" s="326"/>
      <c r="BB5" s="326"/>
      <c r="BC5" s="326"/>
      <c r="BD5" s="326"/>
      <c r="BE5" s="327"/>
      <c r="BF5"/>
      <c r="BG5" s="325" t="s">
        <v>99</v>
      </c>
      <c r="BH5" s="326"/>
      <c r="BI5" s="327"/>
      <c r="BJ5"/>
      <c r="BK5" s="13"/>
      <c r="BL5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D5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O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B6"/>
      <c r="C6" s="18"/>
      <c r="D6" s="18"/>
      <c r="E6" s="18"/>
      <c r="F6" s="18"/>
      <c r="G6" s="18"/>
      <c r="H6" s="18"/>
      <c r="I6" s="18"/>
      <c r="J6"/>
      <c r="K6" s="18"/>
      <c r="L6" s="18"/>
      <c r="M6" s="18"/>
      <c r="N6"/>
      <c r="O6" s="17"/>
      <c r="P6"/>
      <c r="Q6" s="18"/>
      <c r="R6" s="18"/>
      <c r="S6" s="18"/>
      <c r="T6"/>
      <c r="U6" s="18"/>
      <c r="V6" s="18"/>
      <c r="W6" s="18"/>
      <c r="X6"/>
      <c r="Y6" s="18"/>
      <c r="Z6" s="18"/>
      <c r="AA6" s="18"/>
      <c r="AB6"/>
      <c r="AC6" s="18"/>
      <c r="AD6" s="18"/>
      <c r="AE6" s="18"/>
      <c r="AF6"/>
      <c r="AG6" s="17"/>
      <c r="AH6"/>
      <c r="AI6" s="17"/>
      <c r="AJ6" s="17"/>
      <c r="AK6" s="17"/>
      <c r="AL6" s="17"/>
      <c r="AM6" s="17"/>
      <c r="AN6" s="17"/>
      <c r="AO6" s="17"/>
      <c r="AP6"/>
      <c r="AQ6" s="17"/>
      <c r="AR6" s="17"/>
      <c r="AS6" s="17"/>
      <c r="AT6" s="17"/>
      <c r="AU6" s="17"/>
      <c r="AV6" s="17"/>
      <c r="AW6"/>
      <c r="AX6" s="17"/>
      <c r="AY6" s="17"/>
      <c r="AZ6" s="17"/>
      <c r="BA6" s="17"/>
      <c r="BB6" s="17"/>
      <c r="BC6" s="17"/>
      <c r="BD6" s="17"/>
      <c r="BE6" s="17"/>
      <c r="BF6"/>
      <c r="BG6" s="17"/>
      <c r="BH6" s="17"/>
      <c r="BI6" s="17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 s="19"/>
      <c r="CF6" s="20"/>
      <c r="CG6" s="20"/>
      <c r="CH6" s="20"/>
      <c r="CI6" s="20"/>
      <c r="CJ6" s="20"/>
      <c r="CK6" s="20"/>
      <c r="CL6" s="20"/>
      <c r="CM6" s="18"/>
      <c r="CN6" s="21"/>
      <c r="CO6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B7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J7"/>
      <c r="K7" s="22"/>
      <c r="L7" s="22"/>
      <c r="M7" s="22"/>
      <c r="N7"/>
      <c r="O7" s="22"/>
      <c r="P7"/>
      <c r="Q7" s="22" t="s">
        <v>79</v>
      </c>
      <c r="R7" s="22"/>
      <c r="S7" s="22"/>
      <c r="T7"/>
      <c r="U7" s="22"/>
      <c r="V7" s="22"/>
      <c r="W7" s="22"/>
      <c r="X7"/>
      <c r="Y7" s="22"/>
      <c r="Z7" s="22"/>
      <c r="AA7" s="22"/>
      <c r="AB7"/>
      <c r="AC7" s="22"/>
      <c r="AD7" s="22"/>
      <c r="AE7" s="22"/>
      <c r="AF7"/>
      <c r="AG7" s="17"/>
      <c r="AH7"/>
      <c r="AI7" s="17"/>
      <c r="AJ7" s="17"/>
      <c r="AK7" s="17"/>
      <c r="AL7" s="17"/>
      <c r="AM7" s="17"/>
      <c r="AN7" s="17"/>
      <c r="AO7" s="17"/>
      <c r="AP7"/>
      <c r="AQ7" s="17"/>
      <c r="AR7" s="17"/>
      <c r="AS7" s="17"/>
      <c r="AT7" s="17"/>
      <c r="AU7" s="17"/>
      <c r="AV7" s="17"/>
      <c r="AW7"/>
      <c r="AX7" s="17"/>
      <c r="AY7" s="17"/>
      <c r="AZ7" s="17"/>
      <c r="BA7" s="17"/>
      <c r="BB7" s="17"/>
      <c r="BC7" s="17"/>
      <c r="BD7" s="17"/>
      <c r="BE7" s="17"/>
      <c r="BF7"/>
      <c r="BG7" s="17"/>
      <c r="BH7" s="17"/>
      <c r="BI7" s="22" t="s">
        <v>95</v>
      </c>
      <c r="BJ7"/>
      <c r="BK7" s="17"/>
      <c r="BL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D7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O7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B8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J8"/>
      <c r="K8" s="22"/>
      <c r="L8" s="22" t="s">
        <v>67</v>
      </c>
      <c r="M8" s="22" t="s">
        <v>52</v>
      </c>
      <c r="N8"/>
      <c r="O8" s="22" t="s">
        <v>69</v>
      </c>
      <c r="P8"/>
      <c r="Q8" s="22" t="s">
        <v>77</v>
      </c>
      <c r="R8" s="22" t="s">
        <v>80</v>
      </c>
      <c r="S8" s="22"/>
      <c r="T8"/>
      <c r="U8" s="22"/>
      <c r="V8" s="22"/>
      <c r="W8" s="22"/>
      <c r="X8"/>
      <c r="Y8" s="22"/>
      <c r="Z8" s="22"/>
      <c r="AA8" s="22"/>
      <c r="AB8"/>
      <c r="AC8" s="22"/>
      <c r="AD8" s="22"/>
      <c r="AE8" s="22"/>
      <c r="AF8"/>
      <c r="AG8" s="22"/>
      <c r="AH8"/>
      <c r="AI8" s="22"/>
      <c r="AJ8" s="22"/>
      <c r="AK8" s="22"/>
      <c r="AL8" s="22"/>
      <c r="AM8" s="22"/>
      <c r="AN8" s="22"/>
      <c r="AO8" s="22" t="s">
        <v>17</v>
      </c>
      <c r="AP8"/>
      <c r="AQ8" s="22"/>
      <c r="AR8" s="22"/>
      <c r="AS8" s="22"/>
      <c r="AT8" s="22"/>
      <c r="AU8" s="22"/>
      <c r="AV8" s="22"/>
      <c r="AW8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F8"/>
      <c r="BG8" s="22" t="s">
        <v>100</v>
      </c>
      <c r="BH8" s="22"/>
      <c r="BI8" s="22" t="s">
        <v>96</v>
      </c>
      <c r="BJ8"/>
      <c r="BK8" s="17"/>
      <c r="BL8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D8"/>
      <c r="CE8" s="24"/>
      <c r="CF8" s="26"/>
      <c r="CG8" s="18"/>
      <c r="CH8" s="18"/>
      <c r="CI8" s="20"/>
      <c r="CJ8" s="18"/>
      <c r="CK8" s="18"/>
      <c r="CL8" s="20"/>
      <c r="CM8" s="20"/>
      <c r="CN8" s="27"/>
      <c r="CO8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B9"/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J9"/>
      <c r="K9" s="28" t="s">
        <v>66</v>
      </c>
      <c r="L9" s="28" t="s">
        <v>70</v>
      </c>
      <c r="M9" s="28" t="s">
        <v>68</v>
      </c>
      <c r="N9"/>
      <c r="O9" s="28" t="s">
        <v>71</v>
      </c>
      <c r="P9"/>
      <c r="Q9" s="28" t="s">
        <v>78</v>
      </c>
      <c r="R9" s="28" t="s">
        <v>81</v>
      </c>
      <c r="S9" s="28" t="s">
        <v>82</v>
      </c>
      <c r="T9"/>
      <c r="U9" s="28" t="s">
        <v>84</v>
      </c>
      <c r="V9" s="28" t="s">
        <v>85</v>
      </c>
      <c r="W9" s="28" t="s">
        <v>86</v>
      </c>
      <c r="X9"/>
      <c r="Y9" s="28" t="s">
        <v>84</v>
      </c>
      <c r="Z9" s="28" t="s">
        <v>85</v>
      </c>
      <c r="AA9" s="28" t="s">
        <v>86</v>
      </c>
      <c r="AB9"/>
      <c r="AC9" s="28" t="s">
        <v>84</v>
      </c>
      <c r="AD9" s="28" t="s">
        <v>85</v>
      </c>
      <c r="AE9" s="28" t="s">
        <v>86</v>
      </c>
      <c r="AF9"/>
      <c r="AG9" s="28" t="str">
        <f>($A9)</f>
        <v>Date</v>
      </c>
      <c r="AH9"/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P9"/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W9"/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F9"/>
      <c r="BG9" s="28" t="s">
        <v>101</v>
      </c>
      <c r="BH9" s="28" t="s">
        <v>98</v>
      </c>
      <c r="BI9" s="28" t="s">
        <v>97</v>
      </c>
      <c r="BJ9"/>
      <c r="BK9" s="29"/>
      <c r="BL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D9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O9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B10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J10"/>
      <c r="K10" s="34"/>
      <c r="L10" s="34" t="s">
        <v>74</v>
      </c>
      <c r="M10" s="34" t="s">
        <v>75</v>
      </c>
      <c r="N10"/>
      <c r="O10" s="34" t="s">
        <v>76</v>
      </c>
      <c r="P10"/>
      <c r="Q10" s="34" t="s">
        <v>73</v>
      </c>
      <c r="R10" s="34" t="s">
        <v>44</v>
      </c>
      <c r="S10" s="34" t="s">
        <v>83</v>
      </c>
      <c r="T10"/>
      <c r="U10" s="34" t="s">
        <v>43</v>
      </c>
      <c r="V10" s="34" t="s">
        <v>43</v>
      </c>
      <c r="W10" s="34" t="s">
        <v>43</v>
      </c>
      <c r="X10"/>
      <c r="Y10" s="34" t="s">
        <v>87</v>
      </c>
      <c r="Z10" s="34" t="s">
        <v>87</v>
      </c>
      <c r="AA10" s="34" t="s">
        <v>87</v>
      </c>
      <c r="AB10"/>
      <c r="AC10" s="34" t="s">
        <v>88</v>
      </c>
      <c r="AD10" s="34" t="s">
        <v>88</v>
      </c>
      <c r="AE10" s="34" t="s">
        <v>88</v>
      </c>
      <c r="AF10"/>
      <c r="AG10" s="34"/>
      <c r="AH10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P10"/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W10"/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F10"/>
      <c r="BG10" s="34" t="s">
        <v>76</v>
      </c>
      <c r="BH10" s="34"/>
      <c r="BI10" s="34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O10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/>
      <c r="C11" s="150">
        <v>2878339</v>
      </c>
      <c r="D11" s="42"/>
      <c r="E11" s="43"/>
      <c r="F11" s="43"/>
      <c r="G11" s="43"/>
      <c r="H11" s="43"/>
      <c r="I11" s="43"/>
      <c r="J11"/>
      <c r="K11" s="43"/>
      <c r="L11" s="43"/>
      <c r="M11" s="43"/>
      <c r="N11"/>
      <c r="O11" s="43"/>
      <c r="P11"/>
      <c r="Q11" s="44"/>
      <c r="R11" s="44"/>
      <c r="S11" s="44"/>
      <c r="T11"/>
      <c r="U11" s="44"/>
      <c r="V11" s="44"/>
      <c r="W11" s="44"/>
      <c r="X11"/>
      <c r="Y11" s="44"/>
      <c r="Z11" s="44"/>
      <c r="AA11" s="44"/>
      <c r="AB11"/>
      <c r="AC11" s="44"/>
      <c r="AD11" s="44"/>
      <c r="AE11" s="44"/>
      <c r="AF11"/>
      <c r="AG11" s="45"/>
      <c r="AH11"/>
      <c r="AI11" s="46"/>
      <c r="AJ11" s="46"/>
      <c r="AK11" s="46"/>
      <c r="AL11" s="46"/>
      <c r="AM11" s="46"/>
      <c r="AN11" s="46"/>
      <c r="AO11" s="46"/>
      <c r="AP11"/>
      <c r="AQ11" s="46"/>
      <c r="AR11" s="46"/>
      <c r="AS11" s="46"/>
      <c r="AT11" s="46"/>
      <c r="AU11" s="46"/>
      <c r="AV11" s="46"/>
      <c r="AW11"/>
      <c r="AX11" s="46"/>
      <c r="AY11" s="47"/>
      <c r="AZ11" s="47"/>
      <c r="BA11" s="46"/>
      <c r="BB11" s="47"/>
      <c r="BC11" s="46"/>
      <c r="BD11" s="46"/>
      <c r="BE11" s="48"/>
      <c r="BF11"/>
      <c r="BG11" s="46"/>
      <c r="BH11" s="43"/>
      <c r="BI11" s="43"/>
      <c r="BJ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D11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O11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/>
      <c r="C12" s="84">
        <v>2880753</v>
      </c>
      <c r="D12" s="137">
        <f aca="true" t="shared" si="0" ref="D12:D42">(IF(C12=0," ",((C12-C11)/1000)))</f>
        <v>2.414</v>
      </c>
      <c r="E12" s="139">
        <v>4.2</v>
      </c>
      <c r="F12" s="140">
        <v>0.6</v>
      </c>
      <c r="G12" s="81" t="str">
        <f>(IF(C12=0," ","0.00"))</f>
        <v>0.00</v>
      </c>
      <c r="H12" s="84">
        <v>2500</v>
      </c>
      <c r="I12" s="85">
        <v>14500</v>
      </c>
      <c r="J12"/>
      <c r="K12" s="86" t="s">
        <v>209</v>
      </c>
      <c r="L12" s="84">
        <v>61</v>
      </c>
      <c r="M12" s="87">
        <v>0</v>
      </c>
      <c r="N12"/>
      <c r="O12" s="88"/>
      <c r="P12"/>
      <c r="Q12" s="107">
        <v>19</v>
      </c>
      <c r="R12" s="152">
        <v>0.31</v>
      </c>
      <c r="S12" s="91"/>
      <c r="T12"/>
      <c r="U12" s="92">
        <v>7.08</v>
      </c>
      <c r="V12" s="93">
        <v>6.92</v>
      </c>
      <c r="W12" s="94">
        <v>6.45</v>
      </c>
      <c r="X12"/>
      <c r="Y12" s="89">
        <v>15.2</v>
      </c>
      <c r="Z12" s="95">
        <v>15.5</v>
      </c>
      <c r="AA12" s="91">
        <v>17</v>
      </c>
      <c r="AB12"/>
      <c r="AC12" s="92">
        <v>5</v>
      </c>
      <c r="AD12" s="90">
        <v>0.1</v>
      </c>
      <c r="AE12" s="96">
        <v>0</v>
      </c>
      <c r="AF12"/>
      <c r="AG12" s="45">
        <f aca="true" t="shared" si="1" ref="AG12:AG42">($A12)</f>
        <v>1</v>
      </c>
      <c r="AH12" s="281"/>
      <c r="AI12" s="97">
        <v>235</v>
      </c>
      <c r="AJ12" s="55">
        <f aca="true" t="shared" si="2" ref="AJ12:AJ42">IF(AI12=0,"",(D12*AI12*8.34))</f>
        <v>4731.198600000001</v>
      </c>
      <c r="AK12" s="97"/>
      <c r="AL12" s="55">
        <f aca="true" t="shared" si="3" ref="AL12:AL42">IF(AK12=0,"",(D12*AK12*8.34))</f>
      </c>
      <c r="AM12" s="97">
        <v>10</v>
      </c>
      <c r="AN12" s="55">
        <f aca="true" t="shared" si="4" ref="AN12:AN42">IF(AM12=0,"",(D12*AM12*8.34))</f>
        <v>201.3276</v>
      </c>
      <c r="AO12" s="98">
        <v>8</v>
      </c>
      <c r="AP12"/>
      <c r="AQ12" s="99">
        <v>280</v>
      </c>
      <c r="AR12" s="55">
        <f aca="true" t="shared" si="5" ref="AR12:AR42">IF(AQ12=0,"",(D12*AQ12*8.34))</f>
        <v>5637.1728</v>
      </c>
      <c r="AS12" s="97"/>
      <c r="AT12" s="55">
        <f aca="true" t="shared" si="6" ref="AT12:AT42">IF(AS12=0,"",(D12*AS12*8.34))</f>
      </c>
      <c r="AU12" s="97">
        <v>24</v>
      </c>
      <c r="AV12" s="55">
        <f aca="true" t="shared" si="7" ref="AV12:AV42">IF(AU12=0,"",(D12*AU12*8.34))</f>
        <v>483.18624000000005</v>
      </c>
      <c r="AW12"/>
      <c r="AX12" s="99">
        <v>53156</v>
      </c>
      <c r="AY12" s="100">
        <v>3</v>
      </c>
      <c r="AZ12" s="101">
        <v>3.5</v>
      </c>
      <c r="BA12" s="97">
        <v>34</v>
      </c>
      <c r="BB12" s="101">
        <v>35</v>
      </c>
      <c r="BC12" s="97">
        <v>24</v>
      </c>
      <c r="BD12" s="97">
        <v>1785</v>
      </c>
      <c r="BE12" s="102">
        <v>12.26</v>
      </c>
      <c r="BF12"/>
      <c r="BG12" s="99">
        <v>24</v>
      </c>
      <c r="BH12" s="83" t="s">
        <v>223</v>
      </c>
      <c r="BI12" s="103" t="s">
        <v>226</v>
      </c>
      <c r="BJ12"/>
      <c r="BK12" s="17"/>
      <c r="BL12" s="19"/>
      <c r="BM12" s="56" t="s">
        <v>117</v>
      </c>
      <c r="BN12" s="20"/>
      <c r="BO12" s="57" t="s">
        <v>130</v>
      </c>
      <c r="BP12" s="26"/>
      <c r="BQ12" s="149">
        <f>(IF(((SUM(AN12:AN42))=0)," ",(AVERAGE(AN12:AN42))))</f>
        <v>263.1365314285714</v>
      </c>
      <c r="BR12" s="149">
        <f>MAX(AN12:AN42)</f>
        <v>381.57167999999996</v>
      </c>
      <c r="BS12" s="104" t="s">
        <v>126</v>
      </c>
      <c r="BT12" s="104"/>
      <c r="BU12" s="149">
        <f>(IF(((SUM(AM12:AM42))=0)," ",(AVERAGE(AM12:AM42))))</f>
        <v>13.642857142857142</v>
      </c>
      <c r="BV12" s="143">
        <f>(CG23)</f>
        <v>16.333333333333332</v>
      </c>
      <c r="BW12" s="149">
        <f>MAX(AM12:AM42)</f>
        <v>19</v>
      </c>
      <c r="BX12" s="104" t="s">
        <v>128</v>
      </c>
      <c r="BY12" s="104"/>
      <c r="BZ12" s="104">
        <v>0</v>
      </c>
      <c r="CA12" s="144" t="s">
        <v>47</v>
      </c>
      <c r="CB12" s="104">
        <v>24</v>
      </c>
      <c r="CC12" s="136"/>
      <c r="CD12"/>
      <c r="CE12" s="24"/>
      <c r="CF12" s="20" t="s">
        <v>138</v>
      </c>
      <c r="CG12" s="105">
        <v>13</v>
      </c>
      <c r="CH12" s="105">
        <v>265</v>
      </c>
      <c r="CI12" s="105"/>
      <c r="CJ12" s="105">
        <v>24</v>
      </c>
      <c r="CK12" s="105">
        <v>479</v>
      </c>
      <c r="CL12" s="239"/>
      <c r="CM12" s="151">
        <f>(AVERAGE(AE12:AE14))</f>
        <v>0</v>
      </c>
      <c r="CN12" s="59"/>
      <c r="CO12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/>
      <c r="C13" s="84">
        <v>2883218</v>
      </c>
      <c r="D13" s="137">
        <f t="shared" si="0"/>
        <v>2.465</v>
      </c>
      <c r="E13" s="139">
        <v>3.8</v>
      </c>
      <c r="F13" s="140">
        <v>0.6</v>
      </c>
      <c r="G13" s="81" t="str">
        <f aca="true" t="shared" si="8" ref="G13:G42">(IF(C13=0," ","0.00"))</f>
        <v>0.00</v>
      </c>
      <c r="H13" s="84">
        <v>5650</v>
      </c>
      <c r="I13" s="85">
        <v>6750</v>
      </c>
      <c r="J13"/>
      <c r="K13" s="86" t="s">
        <v>209</v>
      </c>
      <c r="L13" s="84">
        <v>67</v>
      </c>
      <c r="M13" s="87">
        <v>0.34</v>
      </c>
      <c r="N13"/>
      <c r="O13" s="106"/>
      <c r="P13"/>
      <c r="Q13" s="107">
        <v>17</v>
      </c>
      <c r="R13" s="152">
        <v>0.33</v>
      </c>
      <c r="S13" s="108"/>
      <c r="T13"/>
      <c r="U13" s="92">
        <v>6.99</v>
      </c>
      <c r="V13" s="93">
        <v>6.94</v>
      </c>
      <c r="W13" s="94">
        <v>6.59</v>
      </c>
      <c r="X13"/>
      <c r="Y13" s="89">
        <v>15.8</v>
      </c>
      <c r="Z13" s="95">
        <v>16</v>
      </c>
      <c r="AA13" s="91">
        <v>17.5</v>
      </c>
      <c r="AB13"/>
      <c r="AC13" s="92">
        <v>5</v>
      </c>
      <c r="AD13" s="90">
        <v>0</v>
      </c>
      <c r="AE13" s="96">
        <v>0</v>
      </c>
      <c r="AF13"/>
      <c r="AG13" s="45">
        <f t="shared" si="1"/>
        <v>2</v>
      </c>
      <c r="AH13" s="281"/>
      <c r="AI13" s="97">
        <v>264</v>
      </c>
      <c r="AJ13" s="55">
        <f t="shared" si="2"/>
        <v>5427.3384</v>
      </c>
      <c r="AK13" s="97">
        <v>183</v>
      </c>
      <c r="AL13" s="55">
        <f t="shared" si="3"/>
        <v>3762.1322999999998</v>
      </c>
      <c r="AM13" s="97">
        <v>15</v>
      </c>
      <c r="AN13" s="55">
        <f t="shared" si="4"/>
        <v>308.37149999999997</v>
      </c>
      <c r="AO13" s="109">
        <v>15</v>
      </c>
      <c r="AP13"/>
      <c r="AQ13" s="99">
        <v>300</v>
      </c>
      <c r="AR13" s="55">
        <f t="shared" si="5"/>
        <v>6167.43</v>
      </c>
      <c r="AS13" s="97">
        <v>96</v>
      </c>
      <c r="AT13" s="55">
        <f t="shared" si="6"/>
        <v>1973.5775999999998</v>
      </c>
      <c r="AU13" s="97">
        <v>25</v>
      </c>
      <c r="AV13" s="55">
        <f t="shared" si="7"/>
        <v>513.9525</v>
      </c>
      <c r="AW13"/>
      <c r="AX13" s="99"/>
      <c r="AY13" s="100"/>
      <c r="AZ13" s="101"/>
      <c r="BA13" s="97"/>
      <c r="BB13" s="101"/>
      <c r="BC13" s="97"/>
      <c r="BD13" s="97"/>
      <c r="BE13" s="102"/>
      <c r="BF13"/>
      <c r="BG13" s="99"/>
      <c r="BH13" s="83"/>
      <c r="BI13" s="103"/>
      <c r="BJ13"/>
      <c r="BK13" s="17"/>
      <c r="BL13" s="19"/>
      <c r="BM13" s="26" t="s">
        <v>86</v>
      </c>
      <c r="BN13" s="20"/>
      <c r="BO13" s="153" t="s">
        <v>131</v>
      </c>
      <c r="BP13" s="26"/>
      <c r="BQ13" s="236">
        <v>963</v>
      </c>
      <c r="BR13" s="236">
        <v>1605</v>
      </c>
      <c r="BS13" s="155" t="s">
        <v>126</v>
      </c>
      <c r="BT13" s="104"/>
      <c r="BU13" s="236">
        <v>30</v>
      </c>
      <c r="BV13" s="156">
        <v>45</v>
      </c>
      <c r="BW13" s="236">
        <v>50</v>
      </c>
      <c r="BX13" s="155" t="s">
        <v>128</v>
      </c>
      <c r="BY13" s="104"/>
      <c r="BZ13" s="237" t="s">
        <v>150</v>
      </c>
      <c r="CA13" s="157" t="s">
        <v>47</v>
      </c>
      <c r="CB13" s="155">
        <v>24</v>
      </c>
      <c r="CC13" s="136"/>
      <c r="CD13"/>
      <c r="CE13" s="24"/>
      <c r="CF13" s="20"/>
      <c r="CG13" s="105"/>
      <c r="CH13" s="105"/>
      <c r="CI13" s="105"/>
      <c r="CJ13" s="105"/>
      <c r="CK13" s="105"/>
      <c r="CL13" s="239"/>
      <c r="CM13" s="151"/>
      <c r="CN13" s="59"/>
      <c r="CO13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B14"/>
      <c r="C14" s="84">
        <v>2885452</v>
      </c>
      <c r="D14" s="137">
        <f t="shared" si="0"/>
        <v>2.234</v>
      </c>
      <c r="E14" s="139">
        <v>3.9</v>
      </c>
      <c r="F14" s="140">
        <v>0.6</v>
      </c>
      <c r="G14" s="81" t="str">
        <f t="shared" si="8"/>
        <v>0.00</v>
      </c>
      <c r="H14" s="84">
        <v>0</v>
      </c>
      <c r="I14" s="85">
        <v>5250</v>
      </c>
      <c r="J14"/>
      <c r="K14" s="86" t="s">
        <v>209</v>
      </c>
      <c r="L14" s="84">
        <v>67</v>
      </c>
      <c r="M14" s="87">
        <v>0.01</v>
      </c>
      <c r="N14"/>
      <c r="O14" s="106"/>
      <c r="P14"/>
      <c r="Q14" s="107">
        <v>18</v>
      </c>
      <c r="R14" s="152">
        <v>0.26</v>
      </c>
      <c r="S14" s="108"/>
      <c r="T14"/>
      <c r="U14" s="92">
        <v>7.05</v>
      </c>
      <c r="V14" s="93">
        <v>6.93</v>
      </c>
      <c r="W14" s="94">
        <v>6.31</v>
      </c>
      <c r="X14"/>
      <c r="Y14" s="89">
        <v>15.5</v>
      </c>
      <c r="Z14" s="95">
        <v>15.9</v>
      </c>
      <c r="AA14" s="91">
        <v>17.8</v>
      </c>
      <c r="AB14"/>
      <c r="AC14" s="92">
        <v>4.5</v>
      </c>
      <c r="AD14" s="90">
        <v>0.01</v>
      </c>
      <c r="AE14" s="96">
        <v>0</v>
      </c>
      <c r="AF14"/>
      <c r="AG14" s="45">
        <f t="shared" si="1"/>
        <v>3</v>
      </c>
      <c r="AH14" s="281"/>
      <c r="AI14" s="97"/>
      <c r="AJ14" s="55">
        <f t="shared" si="2"/>
      </c>
      <c r="AK14" s="97"/>
      <c r="AL14" s="55">
        <f t="shared" si="3"/>
      </c>
      <c r="AM14" s="97"/>
      <c r="AN14" s="55">
        <f t="shared" si="4"/>
      </c>
      <c r="AO14" s="109"/>
      <c r="AP14"/>
      <c r="AQ14" s="99"/>
      <c r="AR14" s="55">
        <f t="shared" si="5"/>
      </c>
      <c r="AS14" s="97"/>
      <c r="AT14" s="55">
        <f t="shared" si="6"/>
      </c>
      <c r="AU14" s="97"/>
      <c r="AV14" s="55">
        <f t="shared" si="7"/>
      </c>
      <c r="AW14"/>
      <c r="AX14" s="99"/>
      <c r="AY14" s="100"/>
      <c r="AZ14" s="101"/>
      <c r="BA14" s="97"/>
      <c r="BB14" s="101"/>
      <c r="BC14" s="97"/>
      <c r="BD14" s="97"/>
      <c r="BE14" s="102"/>
      <c r="BF14"/>
      <c r="BG14" s="99"/>
      <c r="BH14" s="83"/>
      <c r="BI14" s="103"/>
      <c r="BJ14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D14"/>
      <c r="CE14" s="24"/>
      <c r="CF14" s="20" t="s">
        <v>139</v>
      </c>
      <c r="CG14" s="105">
        <f>(IF(((SUM(AM18:AM20))=0)," ",(AVERAGE(AM18:AM20))))</f>
        <v>13</v>
      </c>
      <c r="CH14" s="105">
        <f>(IF(((SUM(AN18:AN20))=0)," ",(AVERAGE(AN18:AN20))))</f>
        <v>243.90885999999998</v>
      </c>
      <c r="CI14" s="105"/>
      <c r="CJ14" s="105">
        <f>(IF(((SUM(AU18:AU20))=0)," ",(AVERAGE(AU18:AU20))))</f>
        <v>14</v>
      </c>
      <c r="CK14" s="105">
        <f>(IF(((SUM(AV18:AV20))=0)," ",(AVERAGE(AV18:AV20))))</f>
        <v>261.82595999999995</v>
      </c>
      <c r="CL14" s="239"/>
      <c r="CM14" s="151">
        <f>(AVERAGE(AE15:AE21))</f>
        <v>0.004285714285714286</v>
      </c>
      <c r="CN14" s="59"/>
      <c r="CO14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B15"/>
      <c r="C15" s="84">
        <v>2887522</v>
      </c>
      <c r="D15" s="137">
        <f t="shared" si="0"/>
        <v>2.07</v>
      </c>
      <c r="E15" s="139">
        <v>3.6</v>
      </c>
      <c r="F15" s="140">
        <v>0.6</v>
      </c>
      <c r="G15" s="81" t="str">
        <f t="shared" si="8"/>
        <v>0.00</v>
      </c>
      <c r="H15" s="84">
        <v>0</v>
      </c>
      <c r="I15" s="85">
        <v>0</v>
      </c>
      <c r="J15"/>
      <c r="K15" s="86" t="s">
        <v>208</v>
      </c>
      <c r="L15" s="84">
        <v>66</v>
      </c>
      <c r="M15" s="87">
        <v>0</v>
      </c>
      <c r="N15"/>
      <c r="O15" s="106"/>
      <c r="P15"/>
      <c r="Q15" s="107">
        <v>17</v>
      </c>
      <c r="R15" s="152">
        <v>0.28</v>
      </c>
      <c r="S15" s="108"/>
      <c r="T15"/>
      <c r="U15" s="92">
        <v>6.98</v>
      </c>
      <c r="V15" s="93">
        <v>6.89</v>
      </c>
      <c r="W15" s="94">
        <v>6.46</v>
      </c>
      <c r="X15"/>
      <c r="Y15" s="89">
        <v>15.1</v>
      </c>
      <c r="Z15" s="95">
        <v>15.6</v>
      </c>
      <c r="AA15" s="91">
        <v>17.4</v>
      </c>
      <c r="AB15"/>
      <c r="AC15" s="92">
        <v>3.5</v>
      </c>
      <c r="AD15" s="90">
        <v>0.01</v>
      </c>
      <c r="AE15" s="96">
        <v>0</v>
      </c>
      <c r="AF15"/>
      <c r="AG15" s="45">
        <f t="shared" si="1"/>
        <v>4</v>
      </c>
      <c r="AH15" s="281"/>
      <c r="AI15" s="97"/>
      <c r="AJ15" s="55">
        <f t="shared" si="2"/>
      </c>
      <c r="AK15" s="97"/>
      <c r="AL15" s="55">
        <f t="shared" si="3"/>
      </c>
      <c r="AM15" s="97"/>
      <c r="AN15" s="55">
        <f t="shared" si="4"/>
      </c>
      <c r="AO15" s="109"/>
      <c r="AP15"/>
      <c r="AQ15" s="99"/>
      <c r="AR15" s="55">
        <f t="shared" si="5"/>
      </c>
      <c r="AS15" s="97"/>
      <c r="AT15" s="55">
        <f t="shared" si="6"/>
      </c>
      <c r="AU15" s="97"/>
      <c r="AV15" s="55">
        <f t="shared" si="7"/>
      </c>
      <c r="AW15"/>
      <c r="AX15" s="99"/>
      <c r="AY15" s="100"/>
      <c r="AZ15" s="101"/>
      <c r="BA15" s="97"/>
      <c r="BB15" s="101"/>
      <c r="BC15" s="97"/>
      <c r="BD15" s="97"/>
      <c r="BE15" s="102"/>
      <c r="BF15"/>
      <c r="BG15" s="99"/>
      <c r="BH15" s="83"/>
      <c r="BI15" s="103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 s="24"/>
      <c r="CF15" s="20"/>
      <c r="CG15" s="105"/>
      <c r="CH15" s="105"/>
      <c r="CI15" s="105"/>
      <c r="CJ15" s="105"/>
      <c r="CK15" s="105"/>
      <c r="CL15" s="239"/>
      <c r="CM15" s="151"/>
      <c r="CN15" s="59"/>
      <c r="CO15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B16"/>
      <c r="C16" s="112">
        <v>2889461</v>
      </c>
      <c r="D16" s="138">
        <f t="shared" si="0"/>
        <v>1.939</v>
      </c>
      <c r="E16" s="141">
        <v>3.8</v>
      </c>
      <c r="F16" s="142">
        <v>0.6</v>
      </c>
      <c r="G16" s="183" t="str">
        <f t="shared" si="8"/>
        <v>0.00</v>
      </c>
      <c r="H16" s="112">
        <v>200</v>
      </c>
      <c r="I16" s="113">
        <v>0</v>
      </c>
      <c r="J16"/>
      <c r="K16" s="114" t="s">
        <v>208</v>
      </c>
      <c r="L16" s="112">
        <v>63</v>
      </c>
      <c r="M16" s="115">
        <v>0.07</v>
      </c>
      <c r="N16"/>
      <c r="O16" s="116"/>
      <c r="P16"/>
      <c r="Q16" s="258">
        <v>15</v>
      </c>
      <c r="R16" s="259">
        <v>0.29</v>
      </c>
      <c r="S16" s="264"/>
      <c r="T16"/>
      <c r="U16" s="117">
        <v>6.89</v>
      </c>
      <c r="V16" s="118">
        <v>6.83</v>
      </c>
      <c r="W16" s="119">
        <v>6.38</v>
      </c>
      <c r="X16"/>
      <c r="Y16" s="120">
        <v>14.9</v>
      </c>
      <c r="Z16" s="121">
        <v>15.5</v>
      </c>
      <c r="AA16" s="122">
        <v>17.1</v>
      </c>
      <c r="AB16"/>
      <c r="AC16" s="117">
        <v>4.5</v>
      </c>
      <c r="AD16" s="123">
        <v>0.01</v>
      </c>
      <c r="AE16" s="124">
        <v>0</v>
      </c>
      <c r="AF16"/>
      <c r="AG16" s="45">
        <f t="shared" si="1"/>
        <v>5</v>
      </c>
      <c r="AH16" s="281"/>
      <c r="AI16" s="125"/>
      <c r="AJ16" s="65">
        <f t="shared" si="2"/>
      </c>
      <c r="AK16" s="125"/>
      <c r="AL16" s="65">
        <f t="shared" si="3"/>
      </c>
      <c r="AM16" s="125"/>
      <c r="AN16" s="65">
        <f t="shared" si="4"/>
      </c>
      <c r="AO16" s="126"/>
      <c r="AP16"/>
      <c r="AQ16" s="127"/>
      <c r="AR16" s="65">
        <f t="shared" si="5"/>
      </c>
      <c r="AS16" s="125"/>
      <c r="AT16" s="65">
        <f t="shared" si="6"/>
      </c>
      <c r="AU16" s="125"/>
      <c r="AV16" s="65">
        <f t="shared" si="7"/>
      </c>
      <c r="AW16"/>
      <c r="AX16" s="127"/>
      <c r="AY16" s="128"/>
      <c r="AZ16" s="129"/>
      <c r="BA16" s="125"/>
      <c r="BB16" s="129"/>
      <c r="BC16" s="125"/>
      <c r="BD16" s="125"/>
      <c r="BE16" s="130"/>
      <c r="BF16"/>
      <c r="BG16" s="127"/>
      <c r="BH16" s="110"/>
      <c r="BI16" s="131"/>
      <c r="BJ16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D16"/>
      <c r="CE16" s="24"/>
      <c r="CF16" s="20" t="s">
        <v>140</v>
      </c>
      <c r="CG16" s="105">
        <f>(IF(((SUM(AM25:AM27))=0)," ",(AVERAGE(AM25:AM27))))</f>
        <v>13.333333333333334</v>
      </c>
      <c r="CH16" s="105">
        <f>(IF(((SUM(AN25:AN27))=0)," ",(AVERAGE(AN25:AN27))))</f>
        <v>259.72427999999996</v>
      </c>
      <c r="CI16" s="105"/>
      <c r="CJ16" s="105">
        <f>(IF(((SUM(AU25:AU27))=0)," ",(AVERAGE(AU25:AU27))))</f>
        <v>24</v>
      </c>
      <c r="CK16" s="105">
        <f>(IF(((SUM(AV25:AV27))=0)," ",(AVERAGE(AV25:AV27))))</f>
        <v>468.1603400000001</v>
      </c>
      <c r="CL16" s="239"/>
      <c r="CM16" s="151">
        <f>(AVERAGE(AE22:AE28))</f>
        <v>0.0014285714285714286</v>
      </c>
      <c r="CN16" s="59"/>
      <c r="CO16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B17"/>
      <c r="C17" s="84">
        <v>2891602</v>
      </c>
      <c r="D17" s="137">
        <f t="shared" si="0"/>
        <v>2.141</v>
      </c>
      <c r="E17" s="139">
        <v>4</v>
      </c>
      <c r="F17" s="140">
        <v>0.6</v>
      </c>
      <c r="G17" s="81" t="str">
        <f t="shared" si="8"/>
        <v>0.00</v>
      </c>
      <c r="H17" s="84">
        <v>5500</v>
      </c>
      <c r="I17" s="85">
        <v>8250</v>
      </c>
      <c r="J17"/>
      <c r="K17" s="86" t="s">
        <v>208</v>
      </c>
      <c r="L17" s="84">
        <v>69</v>
      </c>
      <c r="M17" s="87">
        <v>0.01</v>
      </c>
      <c r="N17"/>
      <c r="O17" s="106"/>
      <c r="P17"/>
      <c r="Q17" s="107">
        <v>17</v>
      </c>
      <c r="R17" s="152">
        <v>0.23</v>
      </c>
      <c r="S17" s="108"/>
      <c r="T17"/>
      <c r="U17" s="92">
        <v>6.94</v>
      </c>
      <c r="V17" s="93">
        <v>6.86</v>
      </c>
      <c r="W17" s="94">
        <v>6.42</v>
      </c>
      <c r="X17"/>
      <c r="Y17" s="89">
        <v>15.9</v>
      </c>
      <c r="Z17" s="95">
        <v>15.8</v>
      </c>
      <c r="AA17" s="91">
        <v>17.5</v>
      </c>
      <c r="AB17"/>
      <c r="AC17" s="92">
        <v>7.5</v>
      </c>
      <c r="AD17" s="90">
        <v>0.1</v>
      </c>
      <c r="AE17" s="96">
        <v>0.01</v>
      </c>
      <c r="AF17"/>
      <c r="AG17" s="45">
        <f t="shared" si="1"/>
        <v>6</v>
      </c>
      <c r="AH17" s="281"/>
      <c r="AI17" s="97"/>
      <c r="AJ17" s="55">
        <f t="shared" si="2"/>
      </c>
      <c r="AK17" s="97"/>
      <c r="AL17" s="55">
        <f t="shared" si="3"/>
      </c>
      <c r="AM17" s="97"/>
      <c r="AN17" s="55">
        <f t="shared" si="4"/>
      </c>
      <c r="AO17" s="109"/>
      <c r="AP17"/>
      <c r="AQ17" s="99"/>
      <c r="AR17" s="55">
        <f t="shared" si="5"/>
      </c>
      <c r="AS17" s="97"/>
      <c r="AT17" s="55">
        <f t="shared" si="6"/>
      </c>
      <c r="AU17" s="97"/>
      <c r="AV17" s="55">
        <f t="shared" si="7"/>
      </c>
      <c r="AW17"/>
      <c r="AX17" s="99">
        <v>51804</v>
      </c>
      <c r="AY17" s="100">
        <v>4</v>
      </c>
      <c r="AZ17" s="101">
        <v>3.25</v>
      </c>
      <c r="BA17" s="97">
        <v>31</v>
      </c>
      <c r="BB17" s="101">
        <v>34</v>
      </c>
      <c r="BC17" s="97">
        <v>24</v>
      </c>
      <c r="BD17" s="97">
        <v>1658</v>
      </c>
      <c r="BE17" s="102">
        <v>12.27</v>
      </c>
      <c r="BF17"/>
      <c r="BG17" s="99">
        <v>24</v>
      </c>
      <c r="BH17" s="83" t="s">
        <v>223</v>
      </c>
      <c r="BI17" s="103" t="s">
        <v>226</v>
      </c>
      <c r="BJ17"/>
      <c r="BK17" s="17"/>
      <c r="BL17" s="19"/>
      <c r="BM17" s="56" t="s">
        <v>111</v>
      </c>
      <c r="BN17" s="20"/>
      <c r="BO17" s="57" t="s">
        <v>130</v>
      </c>
      <c r="BP17" s="26"/>
      <c r="BQ17" s="238" t="s">
        <v>150</v>
      </c>
      <c r="BR17" s="238" t="s">
        <v>150</v>
      </c>
      <c r="BS17" s="238" t="s">
        <v>150</v>
      </c>
      <c r="BT17" s="104"/>
      <c r="BU17" s="145">
        <f>MIN(W12:W42)</f>
        <v>6.31</v>
      </c>
      <c r="BV17" s="238" t="s">
        <v>150</v>
      </c>
      <c r="BW17" s="145">
        <f>MAX(W12:W42)</f>
        <v>6.68</v>
      </c>
      <c r="BX17" s="104" t="s">
        <v>43</v>
      </c>
      <c r="BY17" s="104"/>
      <c r="BZ17" s="104">
        <v>0</v>
      </c>
      <c r="CA17" s="144" t="s">
        <v>48</v>
      </c>
      <c r="CB17" s="104" t="s">
        <v>23</v>
      </c>
      <c r="CC17" s="136"/>
      <c r="CD17"/>
      <c r="CE17" s="69"/>
      <c r="CF17" s="20"/>
      <c r="CG17" s="105"/>
      <c r="CH17" s="105"/>
      <c r="CI17" s="105"/>
      <c r="CJ17" s="105"/>
      <c r="CK17" s="105"/>
      <c r="CL17" s="240"/>
      <c r="CM17" s="151"/>
      <c r="CN17" s="59"/>
      <c r="CO17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B18"/>
      <c r="C18" s="84">
        <v>2893793</v>
      </c>
      <c r="D18" s="137">
        <f t="shared" si="0"/>
        <v>2.191</v>
      </c>
      <c r="E18" s="139">
        <v>3.8</v>
      </c>
      <c r="F18" s="140">
        <v>0.6</v>
      </c>
      <c r="G18" s="81" t="str">
        <f t="shared" si="8"/>
        <v>0.00</v>
      </c>
      <c r="H18" s="84">
        <v>1000</v>
      </c>
      <c r="I18" s="85">
        <v>7500</v>
      </c>
      <c r="J18"/>
      <c r="K18" s="86" t="s">
        <v>209</v>
      </c>
      <c r="L18" s="84">
        <v>67</v>
      </c>
      <c r="M18" s="87">
        <v>0</v>
      </c>
      <c r="N18"/>
      <c r="O18" s="106"/>
      <c r="P18"/>
      <c r="Q18" s="107">
        <v>16</v>
      </c>
      <c r="R18" s="152">
        <v>0.3</v>
      </c>
      <c r="S18" s="108">
        <v>10</v>
      </c>
      <c r="T18"/>
      <c r="U18" s="92">
        <v>6.73</v>
      </c>
      <c r="V18" s="93">
        <v>6.84</v>
      </c>
      <c r="W18" s="94">
        <v>6.63</v>
      </c>
      <c r="X18"/>
      <c r="Y18" s="89">
        <v>15.7</v>
      </c>
      <c r="Z18" s="95">
        <v>15.9</v>
      </c>
      <c r="AA18" s="91">
        <v>17.6</v>
      </c>
      <c r="AB18"/>
      <c r="AC18" s="92">
        <v>6</v>
      </c>
      <c r="AD18" s="90">
        <v>0.1</v>
      </c>
      <c r="AE18" s="96">
        <v>0.01</v>
      </c>
      <c r="AF18"/>
      <c r="AG18" s="45">
        <f t="shared" si="1"/>
        <v>7</v>
      </c>
      <c r="AH18" s="281"/>
      <c r="AI18" s="97">
        <v>282</v>
      </c>
      <c r="AJ18" s="55">
        <f t="shared" si="2"/>
        <v>5152.96908</v>
      </c>
      <c r="AK18" s="97"/>
      <c r="AL18" s="55">
        <f t="shared" si="3"/>
      </c>
      <c r="AM18" s="97">
        <v>13</v>
      </c>
      <c r="AN18" s="55">
        <f t="shared" si="4"/>
        <v>237.54821999999996</v>
      </c>
      <c r="AO18" s="109">
        <v>10</v>
      </c>
      <c r="AP18"/>
      <c r="AQ18" s="99">
        <v>242</v>
      </c>
      <c r="AR18" s="55">
        <f t="shared" si="5"/>
        <v>4422.05148</v>
      </c>
      <c r="AS18" s="97"/>
      <c r="AT18" s="55">
        <f t="shared" si="6"/>
      </c>
      <c r="AU18" s="97">
        <v>15</v>
      </c>
      <c r="AV18" s="55">
        <f t="shared" si="7"/>
        <v>274.09409999999997</v>
      </c>
      <c r="AW18"/>
      <c r="AX18" s="99"/>
      <c r="AY18" s="100"/>
      <c r="AZ18" s="101"/>
      <c r="BA18" s="97"/>
      <c r="BB18" s="101"/>
      <c r="BC18" s="97"/>
      <c r="BD18" s="97"/>
      <c r="BE18" s="102"/>
      <c r="BF18"/>
      <c r="BG18" s="99"/>
      <c r="BH18" s="83"/>
      <c r="BI18" s="103"/>
      <c r="BJ18"/>
      <c r="BK18" s="17"/>
      <c r="BL18" s="19"/>
      <c r="BM18" s="26" t="s">
        <v>86</v>
      </c>
      <c r="BN18" s="20"/>
      <c r="BO18" s="153" t="s">
        <v>131</v>
      </c>
      <c r="BP18" s="26"/>
      <c r="BQ18" s="237" t="s">
        <v>150</v>
      </c>
      <c r="BR18" s="237" t="s">
        <v>150</v>
      </c>
      <c r="BS18" s="237" t="s">
        <v>150</v>
      </c>
      <c r="BT18" s="104"/>
      <c r="BU18" s="158">
        <v>6</v>
      </c>
      <c r="BV18" s="237" t="s">
        <v>150</v>
      </c>
      <c r="BW18" s="155">
        <v>8.5</v>
      </c>
      <c r="BX18" s="155" t="s">
        <v>43</v>
      </c>
      <c r="BY18" s="104"/>
      <c r="BZ18" s="237" t="s">
        <v>150</v>
      </c>
      <c r="CA18" s="157" t="s">
        <v>48</v>
      </c>
      <c r="CB18" s="155" t="s">
        <v>23</v>
      </c>
      <c r="CC18" s="136"/>
      <c r="CD18"/>
      <c r="CE18" s="69"/>
      <c r="CF18" s="20" t="s">
        <v>141</v>
      </c>
      <c r="CG18" s="105">
        <f>(IF(((SUM(AM32:AM34))=0)," ",(AVERAGE(AM32:AM34))))</f>
        <v>12.666666666666666</v>
      </c>
      <c r="CH18" s="105">
        <f>(IF(((SUM(AN32:AN34))=0)," ",(AVERAGE(AN32:AN34))))</f>
        <v>237.80398</v>
      </c>
      <c r="CI18" s="105"/>
      <c r="CJ18" s="105">
        <f>(IF(((SUM(AU32:AU34))=0)," ",(AVERAGE(AU32:AU34))))</f>
        <v>23.333333333333332</v>
      </c>
      <c r="CK18" s="105">
        <f>(IF(((SUM(AV32:AV34))=0)," ",(AVERAGE(AV32:AV34))))</f>
        <v>437.94174000000004</v>
      </c>
      <c r="CL18" s="240"/>
      <c r="CM18" s="151">
        <f>(AVERAGE(AE29:AE35))</f>
        <v>0</v>
      </c>
      <c r="CN18" s="59"/>
      <c r="CO18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B19"/>
      <c r="C19" s="84">
        <v>2896000</v>
      </c>
      <c r="D19" s="137">
        <f t="shared" si="0"/>
        <v>2.207</v>
      </c>
      <c r="E19" s="139">
        <v>4</v>
      </c>
      <c r="F19" s="140">
        <v>0.6</v>
      </c>
      <c r="G19" s="81" t="str">
        <f t="shared" si="8"/>
        <v>0.00</v>
      </c>
      <c r="H19" s="84">
        <v>4500</v>
      </c>
      <c r="I19" s="85">
        <v>10000</v>
      </c>
      <c r="J19"/>
      <c r="K19" s="86" t="s">
        <v>222</v>
      </c>
      <c r="L19" s="84">
        <v>60</v>
      </c>
      <c r="M19" s="87">
        <v>0.33</v>
      </c>
      <c r="N19"/>
      <c r="O19" s="106"/>
      <c r="P19"/>
      <c r="Q19" s="107">
        <v>17</v>
      </c>
      <c r="R19" s="152">
        <v>0.29</v>
      </c>
      <c r="S19" s="108">
        <v>12</v>
      </c>
      <c r="T19"/>
      <c r="U19" s="92">
        <v>7.06</v>
      </c>
      <c r="V19" s="93">
        <v>6.94</v>
      </c>
      <c r="W19" s="94">
        <v>6.52</v>
      </c>
      <c r="X19"/>
      <c r="Y19" s="89">
        <v>15.7</v>
      </c>
      <c r="Z19" s="95">
        <v>15.9</v>
      </c>
      <c r="AA19" s="91">
        <v>17.4</v>
      </c>
      <c r="AB19"/>
      <c r="AC19" s="92">
        <v>8</v>
      </c>
      <c r="AD19" s="90">
        <v>0.01</v>
      </c>
      <c r="AE19" s="96">
        <v>0.01</v>
      </c>
      <c r="AF19"/>
      <c r="AG19" s="45">
        <f t="shared" si="1"/>
        <v>8</v>
      </c>
      <c r="AH19" s="281"/>
      <c r="AI19" s="97">
        <v>299</v>
      </c>
      <c r="AJ19" s="55">
        <f t="shared" si="2"/>
        <v>5503.507619999999</v>
      </c>
      <c r="AK19" s="97"/>
      <c r="AL19" s="55">
        <f t="shared" si="3"/>
      </c>
      <c r="AM19" s="97">
        <v>13</v>
      </c>
      <c r="AN19" s="55">
        <f t="shared" si="4"/>
        <v>239.28294</v>
      </c>
      <c r="AO19" s="109">
        <v>11</v>
      </c>
      <c r="AP19"/>
      <c r="AQ19" s="99">
        <v>320</v>
      </c>
      <c r="AR19" s="55">
        <f t="shared" si="5"/>
        <v>5890.0416</v>
      </c>
      <c r="AS19" s="97"/>
      <c r="AT19" s="55">
        <f t="shared" si="6"/>
      </c>
      <c r="AU19" s="97">
        <v>15</v>
      </c>
      <c r="AV19" s="55">
        <f t="shared" si="7"/>
        <v>276.09569999999997</v>
      </c>
      <c r="AW19"/>
      <c r="AX19" s="99">
        <v>62272</v>
      </c>
      <c r="AY19" s="100">
        <v>3</v>
      </c>
      <c r="AZ19" s="101">
        <v>4.75</v>
      </c>
      <c r="BA19" s="97">
        <v>49.6</v>
      </c>
      <c r="BB19" s="101">
        <v>32</v>
      </c>
      <c r="BC19" s="97">
        <v>36</v>
      </c>
      <c r="BD19" s="97">
        <v>2565</v>
      </c>
      <c r="BE19" s="102">
        <v>12.17</v>
      </c>
      <c r="BF19"/>
      <c r="BG19" s="99">
        <v>36</v>
      </c>
      <c r="BH19" s="83" t="s">
        <v>223</v>
      </c>
      <c r="BI19" s="103" t="s">
        <v>226</v>
      </c>
      <c r="BJ19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D19"/>
      <c r="CE19" s="69"/>
      <c r="CF19" s="20"/>
      <c r="CG19" s="105"/>
      <c r="CH19" s="105"/>
      <c r="CI19" s="105"/>
      <c r="CJ19" s="105"/>
      <c r="CK19" s="105"/>
      <c r="CL19" s="240"/>
      <c r="CM19" s="151"/>
      <c r="CN19" s="59"/>
      <c r="CO1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B20"/>
      <c r="C20" s="84">
        <v>2898351</v>
      </c>
      <c r="D20" s="137">
        <f t="shared" si="0"/>
        <v>2.351</v>
      </c>
      <c r="E20" s="139">
        <v>10.2</v>
      </c>
      <c r="F20" s="140">
        <v>0.6</v>
      </c>
      <c r="G20" s="81" t="str">
        <f t="shared" si="8"/>
        <v>0.00</v>
      </c>
      <c r="H20" s="84">
        <v>5600</v>
      </c>
      <c r="I20" s="85">
        <v>10000</v>
      </c>
      <c r="J20"/>
      <c r="K20" s="86" t="s">
        <v>208</v>
      </c>
      <c r="L20" s="84">
        <v>64</v>
      </c>
      <c r="M20" s="87">
        <v>1.47</v>
      </c>
      <c r="N20"/>
      <c r="O20" s="106"/>
      <c r="P20"/>
      <c r="Q20" s="107">
        <v>16</v>
      </c>
      <c r="R20" s="152">
        <v>0.39</v>
      </c>
      <c r="S20" s="108">
        <v>2</v>
      </c>
      <c r="T20"/>
      <c r="U20" s="92">
        <v>7.09</v>
      </c>
      <c r="V20" s="93">
        <v>6.94</v>
      </c>
      <c r="W20" s="94">
        <v>6.68</v>
      </c>
      <c r="X20"/>
      <c r="Y20" s="89">
        <v>15.5</v>
      </c>
      <c r="Z20" s="95">
        <v>16</v>
      </c>
      <c r="AA20" s="91">
        <v>17.4</v>
      </c>
      <c r="AB20"/>
      <c r="AC20" s="92">
        <v>6.5</v>
      </c>
      <c r="AD20" s="90">
        <v>0.01</v>
      </c>
      <c r="AE20" s="96">
        <v>0</v>
      </c>
      <c r="AF20"/>
      <c r="AG20" s="45">
        <f t="shared" si="1"/>
        <v>9</v>
      </c>
      <c r="AH20" s="281"/>
      <c r="AI20" s="97">
        <v>311</v>
      </c>
      <c r="AJ20" s="55">
        <f t="shared" si="2"/>
        <v>6097.882739999999</v>
      </c>
      <c r="AK20" s="97">
        <v>212</v>
      </c>
      <c r="AL20" s="55">
        <f t="shared" si="3"/>
        <v>4156.75608</v>
      </c>
      <c r="AM20" s="97">
        <v>13</v>
      </c>
      <c r="AN20" s="55">
        <f t="shared" si="4"/>
        <v>254.89541999999997</v>
      </c>
      <c r="AO20" s="109">
        <v>10</v>
      </c>
      <c r="AP20"/>
      <c r="AQ20" s="99">
        <v>278</v>
      </c>
      <c r="AR20" s="55">
        <f t="shared" si="5"/>
        <v>5450.84052</v>
      </c>
      <c r="AS20" s="97">
        <v>72</v>
      </c>
      <c r="AT20" s="55">
        <f t="shared" si="6"/>
        <v>1411.72848</v>
      </c>
      <c r="AU20" s="97">
        <v>12</v>
      </c>
      <c r="AV20" s="55">
        <f t="shared" si="7"/>
        <v>235.28808</v>
      </c>
      <c r="AW20"/>
      <c r="AX20" s="99"/>
      <c r="AY20" s="100"/>
      <c r="AZ20" s="101"/>
      <c r="BA20" s="97"/>
      <c r="BB20" s="101"/>
      <c r="BC20" s="97"/>
      <c r="BD20" s="97"/>
      <c r="BE20" s="102"/>
      <c r="BF20"/>
      <c r="BG20" s="99"/>
      <c r="BH20" s="83"/>
      <c r="BI20" s="103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 s="69"/>
      <c r="CF20" s="20" t="s">
        <v>142</v>
      </c>
      <c r="CG20" s="105">
        <f>(IF(((SUM(AM39:AM41))=0)," ",(AVERAGE(AM39:AM41))))</f>
        <v>16.333333333333332</v>
      </c>
      <c r="CH20" s="105">
        <f>(IF(((SUM(AN39:AN41))=0)," ",(AVERAGE(AN39:AN41))))</f>
        <v>316.63365999999996</v>
      </c>
      <c r="CI20" s="105"/>
      <c r="CJ20" s="105">
        <f>(IF(((SUM(AU39:AU41))=0)," ",(AVERAGE(AU39:AU41))))</f>
        <v>27.333333333333332</v>
      </c>
      <c r="CK20" s="105">
        <f>(IF(((SUM(AV39:AV41))=0)," ",(AVERAGE(AV39:AV41))))</f>
        <v>529.01732</v>
      </c>
      <c r="CL20" s="240"/>
      <c r="CM20" s="151">
        <f>(AVERAGE(AE36:AE42))</f>
        <v>0.0014285714285714286</v>
      </c>
      <c r="CN20" s="59"/>
      <c r="CO20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B21"/>
      <c r="C21" s="112">
        <v>2901121</v>
      </c>
      <c r="D21" s="138">
        <f t="shared" si="0"/>
        <v>2.77</v>
      </c>
      <c r="E21" s="141">
        <v>3.6</v>
      </c>
      <c r="F21" s="142">
        <v>0.6</v>
      </c>
      <c r="G21" s="183" t="str">
        <f t="shared" si="8"/>
        <v>0.00</v>
      </c>
      <c r="H21" s="112">
        <v>0</v>
      </c>
      <c r="I21" s="113">
        <v>8500</v>
      </c>
      <c r="J21"/>
      <c r="K21" s="114" t="s">
        <v>209</v>
      </c>
      <c r="L21" s="112">
        <v>67</v>
      </c>
      <c r="M21" s="115">
        <v>0.05</v>
      </c>
      <c r="N21"/>
      <c r="O21" s="116"/>
      <c r="P21"/>
      <c r="Q21" s="258">
        <v>16</v>
      </c>
      <c r="R21" s="259">
        <v>0.28</v>
      </c>
      <c r="S21" s="264"/>
      <c r="T21"/>
      <c r="U21" s="117">
        <v>6.79</v>
      </c>
      <c r="V21" s="118">
        <v>6.83</v>
      </c>
      <c r="W21" s="119">
        <v>6.43</v>
      </c>
      <c r="X21"/>
      <c r="Y21" s="120">
        <v>15.6</v>
      </c>
      <c r="Z21" s="121">
        <v>16</v>
      </c>
      <c r="AA21" s="122">
        <v>17.6</v>
      </c>
      <c r="AB21"/>
      <c r="AC21" s="117">
        <v>3</v>
      </c>
      <c r="AD21" s="123">
        <v>0.01</v>
      </c>
      <c r="AE21" s="124">
        <v>0</v>
      </c>
      <c r="AF21"/>
      <c r="AG21" s="45">
        <f t="shared" si="1"/>
        <v>10</v>
      </c>
      <c r="AH21" s="281"/>
      <c r="AI21" s="125"/>
      <c r="AJ21" s="65">
        <f t="shared" si="2"/>
      </c>
      <c r="AK21" s="125"/>
      <c r="AL21" s="65">
        <f t="shared" si="3"/>
      </c>
      <c r="AM21" s="125"/>
      <c r="AN21" s="65">
        <f t="shared" si="4"/>
      </c>
      <c r="AO21" s="126"/>
      <c r="AP21"/>
      <c r="AQ21" s="127"/>
      <c r="AR21" s="65">
        <f t="shared" si="5"/>
      </c>
      <c r="AS21" s="125"/>
      <c r="AT21" s="65">
        <f t="shared" si="6"/>
      </c>
      <c r="AU21" s="125"/>
      <c r="AV21" s="65">
        <f t="shared" si="7"/>
      </c>
      <c r="AW21"/>
      <c r="AX21" s="127"/>
      <c r="AY21" s="128"/>
      <c r="AZ21" s="129"/>
      <c r="BA21" s="125"/>
      <c r="BB21" s="129"/>
      <c r="BC21" s="125"/>
      <c r="BD21" s="125"/>
      <c r="BE21" s="130"/>
      <c r="BF21"/>
      <c r="BG21" s="127"/>
      <c r="BH21" s="110"/>
      <c r="BI21" s="131"/>
      <c r="BJ2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D21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O21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B22"/>
      <c r="C22" s="84">
        <v>2903445</v>
      </c>
      <c r="D22" s="137">
        <f t="shared" si="0"/>
        <v>2.324</v>
      </c>
      <c r="E22" s="139">
        <v>3.8</v>
      </c>
      <c r="F22" s="140">
        <v>0.7</v>
      </c>
      <c r="G22" s="81" t="str">
        <f t="shared" si="8"/>
        <v>0.00</v>
      </c>
      <c r="H22" s="84">
        <v>0</v>
      </c>
      <c r="I22" s="85">
        <v>1200</v>
      </c>
      <c r="J22"/>
      <c r="K22" s="86" t="s">
        <v>209</v>
      </c>
      <c r="L22" s="84">
        <v>66</v>
      </c>
      <c r="M22" s="87">
        <v>0</v>
      </c>
      <c r="N22"/>
      <c r="O22" s="106"/>
      <c r="P22"/>
      <c r="Q22" s="107">
        <v>16</v>
      </c>
      <c r="R22" s="152">
        <v>0.2</v>
      </c>
      <c r="S22" s="108"/>
      <c r="T22"/>
      <c r="U22" s="92">
        <v>6.71</v>
      </c>
      <c r="V22" s="93">
        <v>6.75</v>
      </c>
      <c r="W22" s="94">
        <v>6.45</v>
      </c>
      <c r="X22"/>
      <c r="Y22" s="89">
        <v>15.1</v>
      </c>
      <c r="Z22" s="95">
        <v>15.8</v>
      </c>
      <c r="AA22" s="91">
        <v>17.2</v>
      </c>
      <c r="AB22"/>
      <c r="AC22" s="92">
        <v>2</v>
      </c>
      <c r="AD22" s="90">
        <v>0.01</v>
      </c>
      <c r="AE22" s="96">
        <v>0</v>
      </c>
      <c r="AF22"/>
      <c r="AG22" s="45">
        <f t="shared" si="1"/>
        <v>11</v>
      </c>
      <c r="AH22" s="281"/>
      <c r="AI22" s="97"/>
      <c r="AJ22" s="55">
        <f t="shared" si="2"/>
      </c>
      <c r="AK22" s="97"/>
      <c r="AL22" s="55">
        <f t="shared" si="3"/>
      </c>
      <c r="AM22" s="97"/>
      <c r="AN22" s="55">
        <f t="shared" si="4"/>
      </c>
      <c r="AO22" s="109"/>
      <c r="AP22"/>
      <c r="AQ22" s="99"/>
      <c r="AR22" s="55">
        <f t="shared" si="5"/>
      </c>
      <c r="AS22" s="97"/>
      <c r="AT22" s="55">
        <f t="shared" si="6"/>
      </c>
      <c r="AU22" s="97"/>
      <c r="AV22" s="55">
        <f t="shared" si="7"/>
      </c>
      <c r="AW22"/>
      <c r="AX22" s="99"/>
      <c r="AY22" s="100"/>
      <c r="AZ22" s="101"/>
      <c r="BA22" s="97"/>
      <c r="BB22" s="101"/>
      <c r="BC22" s="97"/>
      <c r="BD22" s="97"/>
      <c r="BE22" s="102"/>
      <c r="BF22"/>
      <c r="BG22" s="99"/>
      <c r="BH22" s="83"/>
      <c r="BI22" s="103"/>
      <c r="BJ22"/>
      <c r="BK22" s="17"/>
      <c r="BL22" s="19"/>
      <c r="BM22" s="56" t="s">
        <v>21</v>
      </c>
      <c r="BN22" s="20"/>
      <c r="BO22" s="57" t="s">
        <v>130</v>
      </c>
      <c r="BP22" s="26"/>
      <c r="BQ22" s="149">
        <f>(IF(((SUM(AV12:AV42))=0)," ",(AVERAGE(AV12:AV42))))</f>
        <v>434.8553442857143</v>
      </c>
      <c r="BR22" s="149">
        <f>MAX(AV12:AV42)</f>
        <v>582.39888</v>
      </c>
      <c r="BS22" s="104" t="s">
        <v>126</v>
      </c>
      <c r="BT22" s="104"/>
      <c r="BU22" s="149">
        <f>(IF(((SUM(AU12:AU42))=0)," ",(AVERAGE(AU12:AU42))))</f>
        <v>22.5</v>
      </c>
      <c r="BV22" s="143">
        <f>(CJ23)</f>
        <v>27.333333333333332</v>
      </c>
      <c r="BW22" s="149">
        <f>MAX(AU12:AU42)</f>
        <v>29</v>
      </c>
      <c r="BX22" s="104" t="s">
        <v>128</v>
      </c>
      <c r="BY22" s="104"/>
      <c r="BZ22" s="104">
        <v>0</v>
      </c>
      <c r="CA22" s="144" t="s">
        <v>47</v>
      </c>
      <c r="CB22" s="104">
        <v>24</v>
      </c>
      <c r="CC22" s="136"/>
      <c r="CD22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O22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B23"/>
      <c r="C23" s="84">
        <v>2905685</v>
      </c>
      <c r="D23" s="137">
        <f t="shared" si="0"/>
        <v>2.24</v>
      </c>
      <c r="E23" s="139">
        <v>3.6</v>
      </c>
      <c r="F23" s="140">
        <v>0.8</v>
      </c>
      <c r="G23" s="81" t="str">
        <f t="shared" si="8"/>
        <v>0.00</v>
      </c>
      <c r="H23" s="84">
        <v>1600</v>
      </c>
      <c r="I23" s="85">
        <v>5000</v>
      </c>
      <c r="J23"/>
      <c r="K23" s="86" t="s">
        <v>208</v>
      </c>
      <c r="L23" s="84">
        <v>66</v>
      </c>
      <c r="M23" s="87">
        <v>0</v>
      </c>
      <c r="N23"/>
      <c r="O23" s="106"/>
      <c r="P23"/>
      <c r="Q23" s="107">
        <v>16</v>
      </c>
      <c r="R23" s="152">
        <v>0.29</v>
      </c>
      <c r="S23" s="108"/>
      <c r="T23"/>
      <c r="U23" s="92">
        <v>7.05</v>
      </c>
      <c r="V23" s="93">
        <v>6.87</v>
      </c>
      <c r="W23" s="94">
        <v>6.58</v>
      </c>
      <c r="X23"/>
      <c r="Y23" s="89">
        <v>16.5</v>
      </c>
      <c r="Z23" s="95">
        <v>16.1</v>
      </c>
      <c r="AA23" s="91">
        <v>17.6</v>
      </c>
      <c r="AB23"/>
      <c r="AC23" s="92">
        <v>5</v>
      </c>
      <c r="AD23" s="90">
        <v>0.1</v>
      </c>
      <c r="AE23" s="96">
        <v>0</v>
      </c>
      <c r="AF23"/>
      <c r="AG23" s="45">
        <f t="shared" si="1"/>
        <v>12</v>
      </c>
      <c r="AH23" s="281"/>
      <c r="AI23" s="97"/>
      <c r="AJ23" s="55">
        <f t="shared" si="2"/>
      </c>
      <c r="AK23" s="97"/>
      <c r="AL23" s="55">
        <f t="shared" si="3"/>
      </c>
      <c r="AM23" s="97"/>
      <c r="AN23" s="55">
        <f t="shared" si="4"/>
      </c>
      <c r="AO23" s="109"/>
      <c r="AP23"/>
      <c r="AQ23" s="99"/>
      <c r="AR23" s="55">
        <f t="shared" si="5"/>
      </c>
      <c r="AS23" s="97"/>
      <c r="AT23" s="55">
        <f t="shared" si="6"/>
      </c>
      <c r="AU23" s="97"/>
      <c r="AV23" s="55">
        <f t="shared" si="7"/>
      </c>
      <c r="AW23"/>
      <c r="AX23" s="99">
        <v>50911</v>
      </c>
      <c r="AY23" s="100">
        <v>2</v>
      </c>
      <c r="AZ23" s="101">
        <v>4.5</v>
      </c>
      <c r="BA23" s="97">
        <v>34</v>
      </c>
      <c r="BB23" s="101">
        <v>34</v>
      </c>
      <c r="BC23" s="97">
        <v>24</v>
      </c>
      <c r="BD23" s="97">
        <v>2295</v>
      </c>
      <c r="BE23" s="102">
        <v>12.32</v>
      </c>
      <c r="BF23"/>
      <c r="BG23" s="99">
        <v>24</v>
      </c>
      <c r="BH23" s="83" t="s">
        <v>223</v>
      </c>
      <c r="BI23" s="103" t="s">
        <v>226</v>
      </c>
      <c r="BJ23"/>
      <c r="BK23" s="17"/>
      <c r="BL23" s="19"/>
      <c r="BM23" s="26" t="s">
        <v>86</v>
      </c>
      <c r="BN23" s="20"/>
      <c r="BO23" s="153" t="s">
        <v>131</v>
      </c>
      <c r="BP23" s="26"/>
      <c r="BQ23" s="236">
        <v>963</v>
      </c>
      <c r="BR23" s="236">
        <v>1605</v>
      </c>
      <c r="BS23" s="155" t="s">
        <v>126</v>
      </c>
      <c r="BT23" s="104"/>
      <c r="BU23" s="236">
        <v>30</v>
      </c>
      <c r="BV23" s="156">
        <v>45</v>
      </c>
      <c r="BW23" s="236">
        <v>50</v>
      </c>
      <c r="BX23" s="155" t="s">
        <v>128</v>
      </c>
      <c r="BY23" s="104"/>
      <c r="BZ23" s="237" t="s">
        <v>150</v>
      </c>
      <c r="CA23" s="157" t="s">
        <v>47</v>
      </c>
      <c r="CB23" s="155">
        <v>24</v>
      </c>
      <c r="CC23" s="136"/>
      <c r="CD23"/>
      <c r="CE23" s="69"/>
      <c r="CF23" s="72" t="s">
        <v>53</v>
      </c>
      <c r="CG23" s="149">
        <f>(IF(((SUM(CG12:CG20))=0)," ",(MAX(CG12:CG20))))</f>
        <v>16.333333333333332</v>
      </c>
      <c r="CH23" s="149">
        <f>(IF(((SUM(CH12:CH20))=0)," ",(MAX(CH12:CH20))))</f>
        <v>316.63365999999996</v>
      </c>
      <c r="CI23" s="185"/>
      <c r="CJ23" s="149">
        <f>(IF(((SUM(CJ12:CJ20))=0)," ",(MAX(CJ12:CJ20))))</f>
        <v>27.333333333333332</v>
      </c>
      <c r="CK23" s="149">
        <f>(IF(((SUM(CK12:CK20))=0)," ",(MAX(CK12:CK20))))</f>
        <v>529.01732</v>
      </c>
      <c r="CL23" s="71"/>
      <c r="CM23" s="277">
        <f>(MAX(CM12:CM20))</f>
        <v>0.004285714285714286</v>
      </c>
      <c r="CN23" s="59"/>
      <c r="CO23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B24"/>
      <c r="C24" s="84">
        <v>2908015</v>
      </c>
      <c r="D24" s="137">
        <f t="shared" si="0"/>
        <v>2.33</v>
      </c>
      <c r="E24" s="139">
        <v>4.2</v>
      </c>
      <c r="F24" s="140">
        <v>0.8</v>
      </c>
      <c r="G24" s="81" t="str">
        <f t="shared" si="8"/>
        <v>0.00</v>
      </c>
      <c r="H24" s="84">
        <v>5650</v>
      </c>
      <c r="I24" s="85">
        <v>3000</v>
      </c>
      <c r="J24"/>
      <c r="K24" s="86" t="s">
        <v>208</v>
      </c>
      <c r="L24" s="84">
        <v>64</v>
      </c>
      <c r="M24" s="87">
        <v>0</v>
      </c>
      <c r="N24"/>
      <c r="O24" s="106"/>
      <c r="P24"/>
      <c r="Q24" s="107">
        <v>14</v>
      </c>
      <c r="R24" s="152">
        <v>0.26</v>
      </c>
      <c r="S24" s="108">
        <v>18</v>
      </c>
      <c r="T24"/>
      <c r="U24" s="92">
        <v>7.03</v>
      </c>
      <c r="V24" s="93">
        <v>6.92</v>
      </c>
      <c r="W24" s="94">
        <v>6.65</v>
      </c>
      <c r="X24"/>
      <c r="Y24" s="89">
        <v>15.9</v>
      </c>
      <c r="Z24" s="95">
        <v>16.2</v>
      </c>
      <c r="AA24" s="91">
        <v>17.9</v>
      </c>
      <c r="AB24"/>
      <c r="AC24" s="92">
        <v>6</v>
      </c>
      <c r="AD24" s="90">
        <v>0.1</v>
      </c>
      <c r="AE24" s="96">
        <v>0.01</v>
      </c>
      <c r="AF24"/>
      <c r="AG24" s="45">
        <f t="shared" si="1"/>
        <v>13</v>
      </c>
      <c r="AH24" s="281"/>
      <c r="AI24" s="97"/>
      <c r="AJ24" s="55">
        <f t="shared" si="2"/>
      </c>
      <c r="AK24" s="97"/>
      <c r="AL24" s="55">
        <f t="shared" si="3"/>
      </c>
      <c r="AM24" s="97"/>
      <c r="AN24" s="55">
        <f t="shared" si="4"/>
      </c>
      <c r="AO24" s="109"/>
      <c r="AP24"/>
      <c r="AQ24" s="99"/>
      <c r="AR24" s="55">
        <f t="shared" si="5"/>
      </c>
      <c r="AS24" s="97"/>
      <c r="AT24" s="55">
        <f t="shared" si="6"/>
      </c>
      <c r="AU24" s="97"/>
      <c r="AV24" s="55">
        <f t="shared" si="7"/>
      </c>
      <c r="AW24"/>
      <c r="AX24" s="99"/>
      <c r="AY24" s="100"/>
      <c r="AZ24" s="101"/>
      <c r="BA24" s="97"/>
      <c r="BB24" s="101"/>
      <c r="BC24" s="97"/>
      <c r="BD24" s="97"/>
      <c r="BE24" s="102"/>
      <c r="BF24"/>
      <c r="BG24" s="99"/>
      <c r="BH24" s="83"/>
      <c r="BI24" s="103"/>
      <c r="BJ24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D2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O2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B25"/>
      <c r="C25" s="84">
        <v>2910308</v>
      </c>
      <c r="D25" s="137">
        <f t="shared" si="0"/>
        <v>2.293</v>
      </c>
      <c r="E25" s="139">
        <v>3.8</v>
      </c>
      <c r="F25" s="140">
        <v>0.8</v>
      </c>
      <c r="G25" s="81" t="str">
        <f t="shared" si="8"/>
        <v>0.00</v>
      </c>
      <c r="H25" s="84">
        <v>1000</v>
      </c>
      <c r="I25" s="85">
        <v>8000</v>
      </c>
      <c r="J25"/>
      <c r="K25" s="86" t="s">
        <v>208</v>
      </c>
      <c r="L25" s="84">
        <v>63</v>
      </c>
      <c r="M25" s="87">
        <v>0.31</v>
      </c>
      <c r="N25"/>
      <c r="O25" s="106"/>
      <c r="P25"/>
      <c r="Q25" s="107">
        <v>15</v>
      </c>
      <c r="R25" s="152">
        <v>0.26</v>
      </c>
      <c r="S25" s="108">
        <v>10</v>
      </c>
      <c r="T25"/>
      <c r="U25" s="92">
        <v>7.22</v>
      </c>
      <c r="V25" s="93">
        <v>6.97</v>
      </c>
      <c r="W25" s="94">
        <v>6.49</v>
      </c>
      <c r="X25"/>
      <c r="Y25" s="89">
        <v>16.5</v>
      </c>
      <c r="Z25" s="95">
        <v>16.3</v>
      </c>
      <c r="AA25" s="91">
        <v>17.7</v>
      </c>
      <c r="AB25"/>
      <c r="AC25" s="92">
        <v>26</v>
      </c>
      <c r="AD25" s="90">
        <v>0.01</v>
      </c>
      <c r="AE25" s="96">
        <v>0</v>
      </c>
      <c r="AF25"/>
      <c r="AG25" s="45">
        <f t="shared" si="1"/>
        <v>14</v>
      </c>
      <c r="AH25" s="281"/>
      <c r="AI25" s="97">
        <v>263</v>
      </c>
      <c r="AJ25" s="55">
        <f t="shared" si="2"/>
        <v>5029.512060000001</v>
      </c>
      <c r="AK25" s="97"/>
      <c r="AL25" s="55">
        <f t="shared" si="3"/>
      </c>
      <c r="AM25" s="97">
        <v>14</v>
      </c>
      <c r="AN25" s="55">
        <f t="shared" si="4"/>
        <v>267.73068</v>
      </c>
      <c r="AO25" s="109">
        <v>11</v>
      </c>
      <c r="AP25"/>
      <c r="AQ25" s="99">
        <v>246</v>
      </c>
      <c r="AR25" s="55">
        <f t="shared" si="5"/>
        <v>4704.41052</v>
      </c>
      <c r="AS25" s="97"/>
      <c r="AT25" s="55">
        <f t="shared" si="6"/>
      </c>
      <c r="AU25" s="97">
        <v>21</v>
      </c>
      <c r="AV25" s="55">
        <f t="shared" si="7"/>
        <v>401.59602000000007</v>
      </c>
      <c r="AW25"/>
      <c r="AX25" s="99"/>
      <c r="AY25" s="100"/>
      <c r="AZ25" s="101"/>
      <c r="BA25" s="97"/>
      <c r="BB25" s="101"/>
      <c r="BC25" s="97"/>
      <c r="BD25" s="97"/>
      <c r="BE25" s="102"/>
      <c r="BF25"/>
      <c r="BG25" s="99"/>
      <c r="BH25" s="83"/>
      <c r="BI25" s="103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B26"/>
      <c r="C26" s="112">
        <v>2912658</v>
      </c>
      <c r="D26" s="138">
        <f t="shared" si="0"/>
        <v>2.35</v>
      </c>
      <c r="E26" s="141">
        <v>3.6</v>
      </c>
      <c r="F26" s="142">
        <v>0.8</v>
      </c>
      <c r="G26" s="183" t="str">
        <f t="shared" si="8"/>
        <v>0.00</v>
      </c>
      <c r="H26" s="112">
        <v>1800</v>
      </c>
      <c r="I26" s="113">
        <v>9750</v>
      </c>
      <c r="J26"/>
      <c r="K26" s="114" t="s">
        <v>208</v>
      </c>
      <c r="L26" s="112">
        <v>62</v>
      </c>
      <c r="M26" s="115">
        <v>0.1</v>
      </c>
      <c r="N26"/>
      <c r="O26" s="116"/>
      <c r="P26"/>
      <c r="Q26" s="258">
        <v>16</v>
      </c>
      <c r="R26" s="259">
        <v>0.22</v>
      </c>
      <c r="S26" s="264">
        <v>12</v>
      </c>
      <c r="T26"/>
      <c r="U26" s="117">
        <v>6.96</v>
      </c>
      <c r="V26" s="118">
        <v>6.91</v>
      </c>
      <c r="W26" s="119">
        <v>6.48</v>
      </c>
      <c r="X26"/>
      <c r="Y26" s="120">
        <v>16.2</v>
      </c>
      <c r="Z26" s="121">
        <v>16.4</v>
      </c>
      <c r="AA26" s="122">
        <v>17.6</v>
      </c>
      <c r="AB26"/>
      <c r="AC26" s="117">
        <v>3</v>
      </c>
      <c r="AD26" s="123">
        <v>0.01</v>
      </c>
      <c r="AE26" s="124">
        <v>0</v>
      </c>
      <c r="AF26"/>
      <c r="AG26" s="45">
        <f t="shared" si="1"/>
        <v>15</v>
      </c>
      <c r="AH26" s="281"/>
      <c r="AI26" s="125">
        <v>286</v>
      </c>
      <c r="AJ26" s="65">
        <f t="shared" si="2"/>
        <v>5605.314</v>
      </c>
      <c r="AK26" s="125"/>
      <c r="AL26" s="65">
        <f t="shared" si="3"/>
      </c>
      <c r="AM26" s="125">
        <v>12</v>
      </c>
      <c r="AN26" s="65">
        <f t="shared" si="4"/>
        <v>235.18800000000002</v>
      </c>
      <c r="AO26" s="126">
        <v>10</v>
      </c>
      <c r="AP26"/>
      <c r="AQ26" s="127">
        <v>286</v>
      </c>
      <c r="AR26" s="65">
        <f t="shared" si="5"/>
        <v>5605.314</v>
      </c>
      <c r="AS26" s="125"/>
      <c r="AT26" s="65">
        <f t="shared" si="6"/>
      </c>
      <c r="AU26" s="125">
        <v>26</v>
      </c>
      <c r="AV26" s="65">
        <f t="shared" si="7"/>
        <v>509.574</v>
      </c>
      <c r="AW26"/>
      <c r="AX26" s="127">
        <v>4924</v>
      </c>
      <c r="AY26" s="128">
        <v>3</v>
      </c>
      <c r="AZ26" s="129">
        <v>1</v>
      </c>
      <c r="BA26" s="125">
        <v>9.3</v>
      </c>
      <c r="BB26" s="129">
        <v>36</v>
      </c>
      <c r="BC26" s="125">
        <v>3</v>
      </c>
      <c r="BD26" s="125">
        <v>510</v>
      </c>
      <c r="BE26" s="130">
        <v>12.36</v>
      </c>
      <c r="BF26"/>
      <c r="BG26" s="127">
        <v>3</v>
      </c>
      <c r="BH26" s="110" t="s">
        <v>223</v>
      </c>
      <c r="BI26" s="131" t="s">
        <v>226</v>
      </c>
      <c r="BJ26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D26"/>
      <c r="CE26"/>
      <c r="CF26"/>
      <c r="CG26"/>
      <c r="CH26"/>
      <c r="CI26"/>
      <c r="CJ26"/>
      <c r="CK26"/>
      <c r="CL26"/>
      <c r="CM26"/>
      <c r="CN26"/>
      <c r="CO26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B27"/>
      <c r="C27" s="84">
        <v>2915024</v>
      </c>
      <c r="D27" s="137">
        <f t="shared" si="0"/>
        <v>2.366</v>
      </c>
      <c r="E27" s="139">
        <v>3.8</v>
      </c>
      <c r="F27" s="140">
        <v>0.6</v>
      </c>
      <c r="G27" s="81" t="str">
        <f t="shared" si="8"/>
        <v>0.00</v>
      </c>
      <c r="H27" s="84">
        <v>7500</v>
      </c>
      <c r="I27" s="85">
        <v>9750</v>
      </c>
      <c r="J27"/>
      <c r="K27" s="86" t="s">
        <v>208</v>
      </c>
      <c r="L27" s="84">
        <v>65</v>
      </c>
      <c r="M27" s="87">
        <v>0.01</v>
      </c>
      <c r="N27"/>
      <c r="O27" s="106"/>
      <c r="P27"/>
      <c r="Q27" s="107">
        <v>16</v>
      </c>
      <c r="R27" s="152">
        <v>0.26</v>
      </c>
      <c r="S27" s="108"/>
      <c r="T27"/>
      <c r="U27" s="92">
        <v>7.02</v>
      </c>
      <c r="V27" s="93">
        <v>6.9</v>
      </c>
      <c r="W27" s="94">
        <v>6.41</v>
      </c>
      <c r="X27"/>
      <c r="Y27" s="89">
        <v>15.9</v>
      </c>
      <c r="Z27" s="95">
        <v>16.4</v>
      </c>
      <c r="AA27" s="91">
        <v>17.7</v>
      </c>
      <c r="AB27"/>
      <c r="AC27" s="92">
        <v>8</v>
      </c>
      <c r="AD27" s="90">
        <v>0.01</v>
      </c>
      <c r="AE27" s="96">
        <v>0</v>
      </c>
      <c r="AF27"/>
      <c r="AG27" s="45">
        <f t="shared" si="1"/>
        <v>16</v>
      </c>
      <c r="AH27" s="281"/>
      <c r="AI27" s="97">
        <v>267</v>
      </c>
      <c r="AJ27" s="55">
        <f t="shared" si="2"/>
        <v>5268.561479999999</v>
      </c>
      <c r="AK27" s="97">
        <v>162</v>
      </c>
      <c r="AL27" s="55">
        <f t="shared" si="3"/>
        <v>3196.6552800000004</v>
      </c>
      <c r="AM27" s="97">
        <v>14</v>
      </c>
      <c r="AN27" s="55">
        <f t="shared" si="4"/>
        <v>276.25416</v>
      </c>
      <c r="AO27" s="109">
        <v>10</v>
      </c>
      <c r="AP27"/>
      <c r="AQ27" s="99">
        <v>250</v>
      </c>
      <c r="AR27" s="55">
        <f t="shared" si="5"/>
        <v>4933.11</v>
      </c>
      <c r="AS27" s="97">
        <v>85</v>
      </c>
      <c r="AT27" s="55">
        <f t="shared" si="6"/>
        <v>1677.2574000000002</v>
      </c>
      <c r="AU27" s="97">
        <v>25</v>
      </c>
      <c r="AV27" s="55">
        <f t="shared" si="7"/>
        <v>493.31100000000004</v>
      </c>
      <c r="AW27"/>
      <c r="AX27" s="99">
        <v>17588</v>
      </c>
      <c r="AY27" s="100">
        <v>2</v>
      </c>
      <c r="AZ27" s="101">
        <v>1.5</v>
      </c>
      <c r="BA27" s="97">
        <v>12.4</v>
      </c>
      <c r="BB27" s="101">
        <v>30</v>
      </c>
      <c r="BC27" s="97">
        <v>6</v>
      </c>
      <c r="BD27" s="97">
        <v>585</v>
      </c>
      <c r="BE27" s="102">
        <v>12.17</v>
      </c>
      <c r="BF27"/>
      <c r="BG27" s="99">
        <v>6</v>
      </c>
      <c r="BH27" s="83" t="s">
        <v>223</v>
      </c>
      <c r="BI27" s="103" t="s">
        <v>226</v>
      </c>
      <c r="BJ27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D27"/>
      <c r="CE27"/>
      <c r="CF27"/>
      <c r="CG27"/>
      <c r="CH27"/>
      <c r="CI27"/>
      <c r="CJ27"/>
      <c r="CK27"/>
      <c r="CL27"/>
      <c r="CM27"/>
      <c r="CN27"/>
      <c r="CO27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B28"/>
      <c r="C28" s="84">
        <v>2917289</v>
      </c>
      <c r="D28" s="137">
        <f t="shared" si="0"/>
        <v>2.265</v>
      </c>
      <c r="E28" s="139">
        <v>3.8</v>
      </c>
      <c r="F28" s="140">
        <v>0.6</v>
      </c>
      <c r="G28" s="81" t="str">
        <f t="shared" si="8"/>
        <v>0.00</v>
      </c>
      <c r="H28" s="84">
        <v>3200</v>
      </c>
      <c r="I28" s="85">
        <v>1000</v>
      </c>
      <c r="J28"/>
      <c r="K28" s="86" t="s">
        <v>209</v>
      </c>
      <c r="L28" s="84">
        <v>68</v>
      </c>
      <c r="M28" s="87">
        <v>0.04</v>
      </c>
      <c r="N28"/>
      <c r="O28" s="106"/>
      <c r="P28"/>
      <c r="Q28" s="107">
        <v>15</v>
      </c>
      <c r="R28" s="152">
        <v>0.26</v>
      </c>
      <c r="S28" s="108"/>
      <c r="T28"/>
      <c r="U28" s="92">
        <v>6.9</v>
      </c>
      <c r="V28" s="93">
        <v>6.84</v>
      </c>
      <c r="W28" s="94">
        <v>6.53</v>
      </c>
      <c r="X28"/>
      <c r="Y28" s="89">
        <v>16</v>
      </c>
      <c r="Z28" s="95">
        <v>16.4</v>
      </c>
      <c r="AA28" s="91">
        <v>17.9</v>
      </c>
      <c r="AB28"/>
      <c r="AC28" s="92">
        <v>5</v>
      </c>
      <c r="AD28" s="90">
        <v>0.01</v>
      </c>
      <c r="AE28" s="96">
        <v>0</v>
      </c>
      <c r="AF28"/>
      <c r="AG28" s="45">
        <f t="shared" si="1"/>
        <v>17</v>
      </c>
      <c r="AH28" s="281"/>
      <c r="AI28" s="97"/>
      <c r="AJ28" s="55">
        <f t="shared" si="2"/>
      </c>
      <c r="AK28" s="97"/>
      <c r="AL28" s="55">
        <f t="shared" si="3"/>
      </c>
      <c r="AM28" s="97"/>
      <c r="AN28" s="55">
        <f t="shared" si="4"/>
      </c>
      <c r="AO28" s="109"/>
      <c r="AP28"/>
      <c r="AQ28" s="99"/>
      <c r="AR28" s="55">
        <f t="shared" si="5"/>
      </c>
      <c r="AS28" s="97"/>
      <c r="AT28" s="55">
        <f t="shared" si="6"/>
      </c>
      <c r="AU28" s="97"/>
      <c r="AV28" s="55">
        <f t="shared" si="7"/>
      </c>
      <c r="AW28"/>
      <c r="AX28" s="99"/>
      <c r="AY28" s="100"/>
      <c r="AZ28" s="101"/>
      <c r="BA28" s="97"/>
      <c r="BB28" s="101"/>
      <c r="BC28" s="97"/>
      <c r="BD28" s="97"/>
      <c r="BE28" s="102"/>
      <c r="BF28"/>
      <c r="BG28" s="99"/>
      <c r="BH28" s="83"/>
      <c r="BI28" s="103"/>
      <c r="BJ28"/>
      <c r="BK28" s="17"/>
      <c r="BL28" s="19"/>
      <c r="BM28" s="56" t="s">
        <v>9</v>
      </c>
      <c r="BN28" s="20"/>
      <c r="BO28" s="57" t="s">
        <v>130</v>
      </c>
      <c r="BP28" s="26"/>
      <c r="BQ28" s="238" t="s">
        <v>150</v>
      </c>
      <c r="BR28" s="238" t="s">
        <v>150</v>
      </c>
      <c r="BS28" s="238" t="s">
        <v>150</v>
      </c>
      <c r="BT28" s="238"/>
      <c r="BU28" s="238" t="s">
        <v>150</v>
      </c>
      <c r="BV28" s="146">
        <f>(CM23)</f>
        <v>0.004285714285714286</v>
      </c>
      <c r="BW28" s="146">
        <f>MAX(AE12:AE42)</f>
        <v>0.01</v>
      </c>
      <c r="BX28" s="104" t="s">
        <v>128</v>
      </c>
      <c r="BY28" s="104"/>
      <c r="BZ28" s="104">
        <v>0</v>
      </c>
      <c r="CA28" s="144" t="s">
        <v>48</v>
      </c>
      <c r="CB28" s="104" t="s">
        <v>23</v>
      </c>
      <c r="CC28" s="136"/>
      <c r="CD28"/>
      <c r="CE28"/>
      <c r="CF28"/>
      <c r="CG28"/>
      <c r="CH28"/>
      <c r="CI28"/>
      <c r="CJ28"/>
      <c r="CK28"/>
      <c r="CL28"/>
      <c r="CM28"/>
      <c r="CN28"/>
      <c r="CO28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B29"/>
      <c r="C29" s="84">
        <v>2919444</v>
      </c>
      <c r="D29" s="137">
        <f t="shared" si="0"/>
        <v>2.155</v>
      </c>
      <c r="E29" s="139">
        <v>3.8</v>
      </c>
      <c r="F29" s="140">
        <v>0.6</v>
      </c>
      <c r="G29" s="81" t="str">
        <f t="shared" si="8"/>
        <v>0.00</v>
      </c>
      <c r="H29" s="84">
        <v>0</v>
      </c>
      <c r="I29" s="85">
        <v>0</v>
      </c>
      <c r="J29"/>
      <c r="K29" s="86" t="s">
        <v>209</v>
      </c>
      <c r="L29" s="84">
        <v>69</v>
      </c>
      <c r="M29" s="87">
        <v>0.01</v>
      </c>
      <c r="N29"/>
      <c r="O29" s="106"/>
      <c r="P29"/>
      <c r="Q29" s="107">
        <v>15</v>
      </c>
      <c r="R29" s="152">
        <v>0.23</v>
      </c>
      <c r="S29" s="108"/>
      <c r="T29"/>
      <c r="U29" s="92">
        <v>6.97</v>
      </c>
      <c r="V29" s="93">
        <v>6.86</v>
      </c>
      <c r="W29" s="94">
        <v>6.65</v>
      </c>
      <c r="X29"/>
      <c r="Y29" s="89">
        <v>15.9</v>
      </c>
      <c r="Z29" s="95">
        <v>16.5</v>
      </c>
      <c r="AA29" s="91">
        <v>18.2</v>
      </c>
      <c r="AB29"/>
      <c r="AC29" s="92">
        <v>3.5</v>
      </c>
      <c r="AD29" s="90">
        <v>0.01</v>
      </c>
      <c r="AE29" s="96">
        <v>0</v>
      </c>
      <c r="AF29"/>
      <c r="AG29" s="45">
        <f t="shared" si="1"/>
        <v>18</v>
      </c>
      <c r="AH29" s="281"/>
      <c r="AI29" s="97"/>
      <c r="AJ29" s="55">
        <f t="shared" si="2"/>
      </c>
      <c r="AK29" s="97"/>
      <c r="AL29" s="55">
        <f t="shared" si="3"/>
      </c>
      <c r="AM29" s="97"/>
      <c r="AN29" s="55">
        <f t="shared" si="4"/>
      </c>
      <c r="AO29" s="109"/>
      <c r="AP29"/>
      <c r="AQ29" s="99"/>
      <c r="AR29" s="55">
        <f t="shared" si="5"/>
      </c>
      <c r="AS29" s="97"/>
      <c r="AT29" s="55">
        <f t="shared" si="6"/>
      </c>
      <c r="AU29" s="97"/>
      <c r="AV29" s="55">
        <f t="shared" si="7"/>
      </c>
      <c r="AW29"/>
      <c r="AX29" s="99"/>
      <c r="AY29" s="100"/>
      <c r="AZ29" s="101"/>
      <c r="BA29" s="97"/>
      <c r="BB29" s="101"/>
      <c r="BC29" s="97"/>
      <c r="BD29" s="97"/>
      <c r="BE29" s="102"/>
      <c r="BF29"/>
      <c r="BG29" s="99"/>
      <c r="BH29" s="83"/>
      <c r="BI29" s="103"/>
      <c r="BJ29"/>
      <c r="BK29" s="17"/>
      <c r="BL29" s="19"/>
      <c r="BM29" s="26" t="s">
        <v>86</v>
      </c>
      <c r="BN29" s="20"/>
      <c r="BO29" s="153" t="s">
        <v>131</v>
      </c>
      <c r="BP29" s="26"/>
      <c r="BQ29" s="237" t="s">
        <v>150</v>
      </c>
      <c r="BR29" s="237" t="s">
        <v>150</v>
      </c>
      <c r="BS29" s="237" t="s">
        <v>150</v>
      </c>
      <c r="BT29" s="238"/>
      <c r="BU29" s="237" t="s">
        <v>150</v>
      </c>
      <c r="BV29" s="155" t="s">
        <v>146</v>
      </c>
      <c r="BW29" s="155">
        <v>0.3</v>
      </c>
      <c r="BX29" s="155" t="s">
        <v>128</v>
      </c>
      <c r="BY29" s="104"/>
      <c r="BZ29" s="237" t="s">
        <v>150</v>
      </c>
      <c r="CA29" s="157" t="s">
        <v>48</v>
      </c>
      <c r="CB29" s="155" t="s">
        <v>23</v>
      </c>
      <c r="CC29" s="136"/>
      <c r="CD29"/>
      <c r="CE29"/>
      <c r="CF29"/>
      <c r="CG29"/>
      <c r="CH29"/>
      <c r="CI29"/>
      <c r="CJ29"/>
      <c r="CK29"/>
      <c r="CL29"/>
      <c r="CM29"/>
      <c r="CN29"/>
      <c r="CO29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B30"/>
      <c r="C30" s="84">
        <v>2921601</v>
      </c>
      <c r="D30" s="137">
        <f t="shared" si="0"/>
        <v>2.157</v>
      </c>
      <c r="E30" s="139">
        <v>3.6</v>
      </c>
      <c r="F30" s="140">
        <v>0.6</v>
      </c>
      <c r="G30" s="81" t="str">
        <f t="shared" si="8"/>
        <v>0.00</v>
      </c>
      <c r="H30" s="84">
        <v>5400</v>
      </c>
      <c r="I30" s="85">
        <v>5250</v>
      </c>
      <c r="J30"/>
      <c r="K30" s="86" t="s">
        <v>208</v>
      </c>
      <c r="L30" s="84">
        <v>65</v>
      </c>
      <c r="M30" s="87">
        <v>0.07</v>
      </c>
      <c r="N30"/>
      <c r="O30" s="106"/>
      <c r="P30"/>
      <c r="Q30" s="107">
        <v>17</v>
      </c>
      <c r="R30" s="152">
        <v>0.25</v>
      </c>
      <c r="S30" s="108">
        <v>79</v>
      </c>
      <c r="T30"/>
      <c r="U30" s="92">
        <v>7.01</v>
      </c>
      <c r="V30" s="93">
        <v>6.87</v>
      </c>
      <c r="W30" s="94">
        <v>6.64</v>
      </c>
      <c r="X30"/>
      <c r="Y30" s="89">
        <v>16.7</v>
      </c>
      <c r="Z30" s="95">
        <v>17.3</v>
      </c>
      <c r="AA30" s="91">
        <v>18.4</v>
      </c>
      <c r="AB30"/>
      <c r="AC30" s="92">
        <v>5.5</v>
      </c>
      <c r="AD30" s="90">
        <v>0.01</v>
      </c>
      <c r="AE30" s="96">
        <v>0</v>
      </c>
      <c r="AF30"/>
      <c r="AG30" s="45">
        <f t="shared" si="1"/>
        <v>19</v>
      </c>
      <c r="AH30" s="281"/>
      <c r="AI30" s="97"/>
      <c r="AJ30" s="55">
        <f t="shared" si="2"/>
      </c>
      <c r="AK30" s="97"/>
      <c r="AL30" s="55">
        <f t="shared" si="3"/>
      </c>
      <c r="AM30" s="97"/>
      <c r="AN30" s="55">
        <f t="shared" si="4"/>
      </c>
      <c r="AO30" s="109"/>
      <c r="AP30"/>
      <c r="AQ30" s="99"/>
      <c r="AR30" s="55">
        <f t="shared" si="5"/>
      </c>
      <c r="AS30" s="97"/>
      <c r="AT30" s="55">
        <f t="shared" si="6"/>
      </c>
      <c r="AU30" s="97"/>
      <c r="AV30" s="55">
        <f t="shared" si="7"/>
      </c>
      <c r="AW30"/>
      <c r="AX30" s="99">
        <v>62373</v>
      </c>
      <c r="AY30" s="100">
        <v>2</v>
      </c>
      <c r="AZ30" s="101">
        <v>4.5</v>
      </c>
      <c r="BA30" s="97">
        <v>37.2</v>
      </c>
      <c r="BB30" s="101">
        <v>29</v>
      </c>
      <c r="BC30" s="97">
        <v>24</v>
      </c>
      <c r="BD30" s="97"/>
      <c r="BE30" s="102"/>
      <c r="BF30"/>
      <c r="BG30" s="99">
        <v>24</v>
      </c>
      <c r="BH30" s="83" t="s">
        <v>210</v>
      </c>
      <c r="BI30" s="103" t="s">
        <v>211</v>
      </c>
      <c r="BJ30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D30"/>
      <c r="CE30"/>
      <c r="CF30"/>
      <c r="CG30"/>
      <c r="CH30"/>
      <c r="CI30"/>
      <c r="CJ30"/>
      <c r="CK30"/>
      <c r="CL30"/>
      <c r="CM30"/>
      <c r="CN30"/>
      <c r="CO30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B31"/>
      <c r="C31" s="112">
        <v>2923841</v>
      </c>
      <c r="D31" s="138">
        <f t="shared" si="0"/>
        <v>2.24</v>
      </c>
      <c r="E31" s="141">
        <v>3.6</v>
      </c>
      <c r="F31" s="142">
        <v>0.6</v>
      </c>
      <c r="G31" s="183" t="str">
        <f t="shared" si="8"/>
        <v>0.00</v>
      </c>
      <c r="H31" s="112">
        <v>3000</v>
      </c>
      <c r="I31" s="113">
        <v>11500</v>
      </c>
      <c r="J31"/>
      <c r="K31" s="114" t="s">
        <v>208</v>
      </c>
      <c r="L31" s="112">
        <v>68</v>
      </c>
      <c r="M31" s="115">
        <v>0.03</v>
      </c>
      <c r="N31"/>
      <c r="O31" s="116"/>
      <c r="P31"/>
      <c r="Q31" s="258">
        <v>17</v>
      </c>
      <c r="R31" s="259">
        <v>0.39</v>
      </c>
      <c r="S31" s="264">
        <v>10</v>
      </c>
      <c r="T31"/>
      <c r="U31" s="117">
        <v>7.18</v>
      </c>
      <c r="V31" s="118">
        <v>6.25</v>
      </c>
      <c r="W31" s="119">
        <v>6.67</v>
      </c>
      <c r="X31"/>
      <c r="Y31" s="120">
        <v>17.3</v>
      </c>
      <c r="Z31" s="121">
        <v>17.4</v>
      </c>
      <c r="AA31" s="122">
        <v>18.6</v>
      </c>
      <c r="AB31"/>
      <c r="AC31" s="117">
        <v>8</v>
      </c>
      <c r="AD31" s="123">
        <v>0.3</v>
      </c>
      <c r="AE31" s="124">
        <v>0</v>
      </c>
      <c r="AF31"/>
      <c r="AG31" s="45">
        <f t="shared" si="1"/>
        <v>20</v>
      </c>
      <c r="AH31" s="281"/>
      <c r="AI31" s="125"/>
      <c r="AJ31" s="65">
        <f t="shared" si="2"/>
      </c>
      <c r="AK31" s="125"/>
      <c r="AL31" s="65">
        <f t="shared" si="3"/>
      </c>
      <c r="AM31" s="125"/>
      <c r="AN31" s="65">
        <f t="shared" si="4"/>
      </c>
      <c r="AO31" s="126"/>
      <c r="AP31"/>
      <c r="AQ31" s="127"/>
      <c r="AR31" s="65">
        <f t="shared" si="5"/>
      </c>
      <c r="AS31" s="125"/>
      <c r="AT31" s="65">
        <f t="shared" si="6"/>
      </c>
      <c r="AU31" s="125"/>
      <c r="AV31" s="65">
        <f t="shared" si="7"/>
      </c>
      <c r="AW31"/>
      <c r="AX31" s="127">
        <v>23545</v>
      </c>
      <c r="AY31" s="128">
        <v>3</v>
      </c>
      <c r="AZ31" s="129">
        <v>1.75</v>
      </c>
      <c r="BA31" s="125">
        <v>18.6</v>
      </c>
      <c r="BB31" s="129">
        <v>34</v>
      </c>
      <c r="BC31" s="125">
        <v>12</v>
      </c>
      <c r="BD31" s="125">
        <v>892.5</v>
      </c>
      <c r="BE31" s="130">
        <v>12.11</v>
      </c>
      <c r="BF31"/>
      <c r="BG31" s="127">
        <v>12</v>
      </c>
      <c r="BH31" s="110" t="s">
        <v>223</v>
      </c>
      <c r="BI31" s="131" t="s">
        <v>224</v>
      </c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B32"/>
      <c r="C32" s="84">
        <v>2926101</v>
      </c>
      <c r="D32" s="137">
        <f t="shared" si="0"/>
        <v>2.26</v>
      </c>
      <c r="E32" s="139">
        <v>3.8</v>
      </c>
      <c r="F32" s="140">
        <v>0.6</v>
      </c>
      <c r="G32" s="81" t="str">
        <f t="shared" si="8"/>
        <v>0.00</v>
      </c>
      <c r="H32" s="84">
        <v>1000</v>
      </c>
      <c r="I32" s="85">
        <v>4750</v>
      </c>
      <c r="J32"/>
      <c r="K32" s="86" t="s">
        <v>209</v>
      </c>
      <c r="L32" s="84">
        <v>70</v>
      </c>
      <c r="M32" s="87">
        <v>0</v>
      </c>
      <c r="N32"/>
      <c r="O32" s="106"/>
      <c r="P32"/>
      <c r="Q32" s="107">
        <v>16</v>
      </c>
      <c r="R32" s="152">
        <v>0.26</v>
      </c>
      <c r="S32" s="108">
        <v>36</v>
      </c>
      <c r="T32"/>
      <c r="U32" s="92">
        <v>7.32</v>
      </c>
      <c r="V32" s="93">
        <v>7.03</v>
      </c>
      <c r="W32" s="94">
        <v>6.66</v>
      </c>
      <c r="X32"/>
      <c r="Y32" s="89">
        <v>17.2</v>
      </c>
      <c r="Z32" s="95">
        <v>17.1</v>
      </c>
      <c r="AA32" s="91">
        <v>18.7</v>
      </c>
      <c r="AB32"/>
      <c r="AC32" s="92">
        <v>14</v>
      </c>
      <c r="AD32" s="90">
        <v>0.01</v>
      </c>
      <c r="AE32" s="96">
        <v>0</v>
      </c>
      <c r="AF32"/>
      <c r="AG32" s="45">
        <f t="shared" si="1"/>
        <v>21</v>
      </c>
      <c r="AH32" s="281"/>
      <c r="AI32" s="97">
        <v>299</v>
      </c>
      <c r="AJ32" s="55">
        <f t="shared" si="2"/>
        <v>5635.671599999999</v>
      </c>
      <c r="AK32" s="97"/>
      <c r="AL32" s="55">
        <f t="shared" si="3"/>
      </c>
      <c r="AM32" s="97">
        <v>13</v>
      </c>
      <c r="AN32" s="55">
        <f t="shared" si="4"/>
        <v>245.02919999999995</v>
      </c>
      <c r="AO32" s="109">
        <v>9</v>
      </c>
      <c r="AP32"/>
      <c r="AQ32" s="99">
        <v>326</v>
      </c>
      <c r="AR32" s="55">
        <f t="shared" si="5"/>
        <v>6144.5783999999985</v>
      </c>
      <c r="AS32" s="97"/>
      <c r="AT32" s="55">
        <f t="shared" si="6"/>
      </c>
      <c r="AU32" s="97">
        <v>24</v>
      </c>
      <c r="AV32" s="55">
        <f t="shared" si="7"/>
        <v>452.36159999999995</v>
      </c>
      <c r="AW32"/>
      <c r="AX32" s="99"/>
      <c r="AY32" s="100"/>
      <c r="AZ32" s="101"/>
      <c r="BA32" s="97"/>
      <c r="BB32" s="101"/>
      <c r="BC32" s="97"/>
      <c r="BD32" s="97"/>
      <c r="BE32" s="102"/>
      <c r="BF32"/>
      <c r="BG32" s="99"/>
      <c r="BH32" s="83"/>
      <c r="BI32" s="103"/>
      <c r="BJ32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B33"/>
      <c r="C33" s="84">
        <v>2928323</v>
      </c>
      <c r="D33" s="137">
        <f t="shared" si="0"/>
        <v>2.222</v>
      </c>
      <c r="E33" s="139">
        <v>4</v>
      </c>
      <c r="F33" s="140">
        <v>0.6</v>
      </c>
      <c r="G33" s="81" t="str">
        <f t="shared" si="8"/>
        <v>0.00</v>
      </c>
      <c r="H33" s="84">
        <v>150</v>
      </c>
      <c r="I33" s="85">
        <v>10000</v>
      </c>
      <c r="J33"/>
      <c r="K33" s="86" t="s">
        <v>209</v>
      </c>
      <c r="L33" s="84">
        <v>67</v>
      </c>
      <c r="M33" s="87">
        <v>0</v>
      </c>
      <c r="N33"/>
      <c r="O33" s="106"/>
      <c r="P33"/>
      <c r="Q33" s="107">
        <v>18</v>
      </c>
      <c r="R33" s="152">
        <v>0.24</v>
      </c>
      <c r="S33" s="108"/>
      <c r="T33"/>
      <c r="U33" s="92">
        <v>7.04</v>
      </c>
      <c r="V33" s="93">
        <v>6.91</v>
      </c>
      <c r="W33" s="94">
        <v>6.49</v>
      </c>
      <c r="X33"/>
      <c r="Y33" s="89">
        <v>16.2</v>
      </c>
      <c r="Z33" s="95">
        <v>16.8</v>
      </c>
      <c r="AA33" s="91">
        <v>18.5</v>
      </c>
      <c r="AB33"/>
      <c r="AC33" s="92">
        <v>6</v>
      </c>
      <c r="AD33" s="90">
        <v>0.01</v>
      </c>
      <c r="AE33" s="96">
        <v>0</v>
      </c>
      <c r="AF33"/>
      <c r="AG33" s="45">
        <f t="shared" si="1"/>
        <v>22</v>
      </c>
      <c r="AH33" s="281"/>
      <c r="AI33" s="97">
        <v>245</v>
      </c>
      <c r="AJ33" s="55">
        <f t="shared" si="2"/>
        <v>4540.2126</v>
      </c>
      <c r="AK33" s="97"/>
      <c r="AL33" s="55">
        <f t="shared" si="3"/>
      </c>
      <c r="AM33" s="97">
        <v>12</v>
      </c>
      <c r="AN33" s="55">
        <f t="shared" si="4"/>
        <v>222.37776</v>
      </c>
      <c r="AO33" s="109">
        <v>9</v>
      </c>
      <c r="AP33"/>
      <c r="AQ33" s="99">
        <v>264</v>
      </c>
      <c r="AR33" s="55">
        <f t="shared" si="5"/>
        <v>4892.3107199999995</v>
      </c>
      <c r="AS33" s="97"/>
      <c r="AT33" s="55">
        <f t="shared" si="6"/>
      </c>
      <c r="AU33" s="97">
        <v>23</v>
      </c>
      <c r="AV33" s="55">
        <f t="shared" si="7"/>
        <v>426.22404</v>
      </c>
      <c r="AW33"/>
      <c r="AX33" s="99"/>
      <c r="AY33" s="100"/>
      <c r="AZ33" s="101"/>
      <c r="BA33" s="97"/>
      <c r="BB33" s="101"/>
      <c r="BC33" s="97"/>
      <c r="BD33" s="97"/>
      <c r="BE33" s="102"/>
      <c r="BF33"/>
      <c r="BG33" s="99"/>
      <c r="BH33" s="83"/>
      <c r="BI33" s="103"/>
      <c r="BJ33"/>
      <c r="BK33" s="17"/>
      <c r="BL33" s="19"/>
      <c r="BM33" s="56" t="s">
        <v>1</v>
      </c>
      <c r="BN33" s="20"/>
      <c r="BO33" s="57" t="s">
        <v>130</v>
      </c>
      <c r="BP33" s="26"/>
      <c r="BQ33" s="147">
        <f>(D47)</f>
        <v>2.271290322580645</v>
      </c>
      <c r="BR33" s="147">
        <f>(D45)</f>
        <v>2.77</v>
      </c>
      <c r="BS33" s="104" t="s">
        <v>127</v>
      </c>
      <c r="BT33" s="104"/>
      <c r="BU33" s="238" t="s">
        <v>150</v>
      </c>
      <c r="BV33" s="238" t="s">
        <v>150</v>
      </c>
      <c r="BW33" s="238" t="s">
        <v>150</v>
      </c>
      <c r="BX33" s="238" t="s">
        <v>150</v>
      </c>
      <c r="BY33" s="104"/>
      <c r="BZ33" s="104">
        <v>0</v>
      </c>
      <c r="CA33" s="148" t="s">
        <v>24</v>
      </c>
      <c r="CB33" s="104" t="s">
        <v>25</v>
      </c>
      <c r="CC33" s="136"/>
      <c r="CD33"/>
      <c r="CE33"/>
      <c r="CF33"/>
      <c r="CG33"/>
      <c r="CH33"/>
      <c r="CI33"/>
      <c r="CJ33" s="338" t="s">
        <v>17</v>
      </c>
      <c r="CK33" s="340"/>
      <c r="CL33"/>
      <c r="CM33"/>
      <c r="CN33"/>
      <c r="CO33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B34"/>
      <c r="C34" s="84">
        <v>2930592</v>
      </c>
      <c r="D34" s="137">
        <f t="shared" si="0"/>
        <v>2.269</v>
      </c>
      <c r="E34" s="139">
        <v>4</v>
      </c>
      <c r="F34" s="140">
        <v>0.6</v>
      </c>
      <c r="G34" s="81" t="str">
        <f t="shared" si="8"/>
        <v>0.00</v>
      </c>
      <c r="H34" s="84">
        <v>3200</v>
      </c>
      <c r="I34" s="85">
        <v>3750</v>
      </c>
      <c r="J34"/>
      <c r="K34" s="86" t="s">
        <v>209</v>
      </c>
      <c r="L34" s="84">
        <v>67</v>
      </c>
      <c r="M34" s="87">
        <v>0</v>
      </c>
      <c r="N34"/>
      <c r="O34" s="106"/>
      <c r="P34"/>
      <c r="Q34" s="107">
        <v>18</v>
      </c>
      <c r="R34" s="152">
        <v>0.25</v>
      </c>
      <c r="S34" s="108"/>
      <c r="T34"/>
      <c r="U34" s="92">
        <v>7.09</v>
      </c>
      <c r="V34" s="93">
        <v>6.94</v>
      </c>
      <c r="W34" s="94">
        <v>6.44</v>
      </c>
      <c r="X34"/>
      <c r="Y34" s="89">
        <v>17</v>
      </c>
      <c r="Z34" s="95">
        <v>17.3</v>
      </c>
      <c r="AA34" s="91">
        <v>18.7</v>
      </c>
      <c r="AB34"/>
      <c r="AC34" s="92">
        <v>10</v>
      </c>
      <c r="AD34" s="90">
        <v>0.1</v>
      </c>
      <c r="AE34" s="96">
        <v>0</v>
      </c>
      <c r="AF34"/>
      <c r="AG34" s="45">
        <f t="shared" si="1"/>
        <v>23</v>
      </c>
      <c r="AH34" s="281"/>
      <c r="AI34" s="97">
        <v>278</v>
      </c>
      <c r="AJ34" s="55">
        <f t="shared" si="2"/>
        <v>5260.72188</v>
      </c>
      <c r="AK34" s="97">
        <v>163</v>
      </c>
      <c r="AL34" s="55">
        <f t="shared" si="3"/>
        <v>3084.5239800000004</v>
      </c>
      <c r="AM34" s="97">
        <v>13</v>
      </c>
      <c r="AN34" s="55">
        <f t="shared" si="4"/>
        <v>246.00498</v>
      </c>
      <c r="AO34" s="109">
        <v>9</v>
      </c>
      <c r="AP34"/>
      <c r="AQ34" s="99">
        <v>282</v>
      </c>
      <c r="AR34" s="55">
        <f t="shared" si="5"/>
        <v>5336.41572</v>
      </c>
      <c r="AS34" s="97">
        <v>83</v>
      </c>
      <c r="AT34" s="55">
        <f t="shared" si="6"/>
        <v>1570.64718</v>
      </c>
      <c r="AU34" s="97">
        <v>23</v>
      </c>
      <c r="AV34" s="55">
        <f t="shared" si="7"/>
        <v>435.23958000000005</v>
      </c>
      <c r="AW34"/>
      <c r="AX34" s="99">
        <v>29121</v>
      </c>
      <c r="AY34" s="100">
        <v>3</v>
      </c>
      <c r="AZ34" s="101">
        <v>2</v>
      </c>
      <c r="BA34" s="97">
        <v>24.8</v>
      </c>
      <c r="BB34" s="101">
        <v>29</v>
      </c>
      <c r="BC34" s="97">
        <v>12</v>
      </c>
      <c r="BD34" s="97"/>
      <c r="BE34" s="102"/>
      <c r="BF34"/>
      <c r="BG34" s="99">
        <v>12</v>
      </c>
      <c r="BH34" s="83" t="s">
        <v>210</v>
      </c>
      <c r="BI34" s="103" t="s">
        <v>211</v>
      </c>
      <c r="BJ34"/>
      <c r="BK34" s="17"/>
      <c r="BL34" s="19"/>
      <c r="BM34" s="26" t="s">
        <v>86</v>
      </c>
      <c r="BN34" s="20"/>
      <c r="BO34" s="153" t="s">
        <v>131</v>
      </c>
      <c r="BP34" s="26"/>
      <c r="BQ34" s="159">
        <v>3.85</v>
      </c>
      <c r="BR34" s="155" t="s">
        <v>146</v>
      </c>
      <c r="BS34" s="155" t="s">
        <v>127</v>
      </c>
      <c r="BT34" s="104"/>
      <c r="BU34" s="237" t="s">
        <v>150</v>
      </c>
      <c r="BV34" s="237" t="s">
        <v>150</v>
      </c>
      <c r="BW34" s="237" t="s">
        <v>150</v>
      </c>
      <c r="BX34" s="237" t="s">
        <v>150</v>
      </c>
      <c r="BY34" s="104"/>
      <c r="BZ34" s="237" t="s">
        <v>150</v>
      </c>
      <c r="CA34" s="160" t="s">
        <v>24</v>
      </c>
      <c r="CB34" s="155" t="s">
        <v>25</v>
      </c>
      <c r="CC34" s="136"/>
      <c r="CD34"/>
      <c r="CE34"/>
      <c r="CF34"/>
      <c r="CG34"/>
      <c r="CH34"/>
      <c r="CI34"/>
      <c r="CJ34" s="49"/>
      <c r="CK34" s="76"/>
      <c r="CL34"/>
      <c r="CM34"/>
      <c r="CN34"/>
      <c r="CO34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B35"/>
      <c r="C35" s="84">
        <v>2932963</v>
      </c>
      <c r="D35" s="137">
        <f t="shared" si="0"/>
        <v>2.371</v>
      </c>
      <c r="E35" s="139">
        <v>3.6</v>
      </c>
      <c r="F35" s="140">
        <v>0.6</v>
      </c>
      <c r="G35" s="81" t="str">
        <f t="shared" si="8"/>
        <v>0.00</v>
      </c>
      <c r="H35" s="84">
        <v>3700</v>
      </c>
      <c r="I35" s="85">
        <v>0</v>
      </c>
      <c r="J35"/>
      <c r="K35" s="86" t="s">
        <v>213</v>
      </c>
      <c r="L35" s="84">
        <v>65</v>
      </c>
      <c r="M35" s="87">
        <v>0.56</v>
      </c>
      <c r="N35"/>
      <c r="O35" s="106"/>
      <c r="P35"/>
      <c r="Q35" s="107">
        <v>19</v>
      </c>
      <c r="R35" s="152">
        <v>0.21</v>
      </c>
      <c r="S35" s="108"/>
      <c r="T35"/>
      <c r="U35" s="92">
        <v>6.98</v>
      </c>
      <c r="V35" s="93">
        <v>6.86</v>
      </c>
      <c r="W35" s="94">
        <v>6.52</v>
      </c>
      <c r="X35"/>
      <c r="Y35" s="89">
        <v>16.9</v>
      </c>
      <c r="Z35" s="95">
        <v>17.2</v>
      </c>
      <c r="AA35" s="91">
        <v>18.4</v>
      </c>
      <c r="AB35"/>
      <c r="AC35" s="92">
        <v>4.5</v>
      </c>
      <c r="AD35" s="90">
        <v>0.01</v>
      </c>
      <c r="AE35" s="96">
        <v>0</v>
      </c>
      <c r="AF35"/>
      <c r="AG35" s="45">
        <f t="shared" si="1"/>
        <v>24</v>
      </c>
      <c r="AH35" s="281"/>
      <c r="AI35" s="97"/>
      <c r="AJ35" s="55">
        <f t="shared" si="2"/>
      </c>
      <c r="AK35" s="97"/>
      <c r="AL35" s="55">
        <f t="shared" si="3"/>
      </c>
      <c r="AM35" s="97"/>
      <c r="AN35" s="55">
        <f t="shared" si="4"/>
      </c>
      <c r="AO35" s="109"/>
      <c r="AP35"/>
      <c r="AQ35" s="99"/>
      <c r="AR35" s="55">
        <f t="shared" si="5"/>
      </c>
      <c r="AS35" s="97"/>
      <c r="AT35" s="55">
        <f t="shared" si="6"/>
      </c>
      <c r="AU35" s="97"/>
      <c r="AV35" s="55">
        <f t="shared" si="7"/>
      </c>
      <c r="AW35"/>
      <c r="AX35" s="99"/>
      <c r="AY35" s="100"/>
      <c r="AZ35" s="101"/>
      <c r="BA35" s="97"/>
      <c r="BB35" s="101"/>
      <c r="BC35" s="97"/>
      <c r="BD35" s="97"/>
      <c r="BE35" s="102"/>
      <c r="BF35"/>
      <c r="BG35" s="99"/>
      <c r="BH35" s="83"/>
      <c r="BI35" s="103"/>
      <c r="BJ35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D35"/>
      <c r="CE35"/>
      <c r="CF35"/>
      <c r="CG35"/>
      <c r="CH35"/>
      <c r="CI35"/>
      <c r="CJ35" s="342" t="s">
        <v>145</v>
      </c>
      <c r="CK35" s="343"/>
      <c r="CL35"/>
      <c r="CM35"/>
      <c r="CN35"/>
      <c r="CO35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B36"/>
      <c r="C36" s="112">
        <v>2935082</v>
      </c>
      <c r="D36" s="138">
        <f t="shared" si="0"/>
        <v>2.119</v>
      </c>
      <c r="E36" s="141">
        <v>3.7</v>
      </c>
      <c r="F36" s="142">
        <v>0.6</v>
      </c>
      <c r="G36" s="183" t="str">
        <f t="shared" si="8"/>
        <v>0.00</v>
      </c>
      <c r="H36" s="112">
        <v>0</v>
      </c>
      <c r="I36" s="113">
        <v>1000</v>
      </c>
      <c r="J36"/>
      <c r="K36" s="114" t="s">
        <v>209</v>
      </c>
      <c r="L36" s="112">
        <v>61</v>
      </c>
      <c r="M36" s="115">
        <v>0</v>
      </c>
      <c r="N36"/>
      <c r="O36" s="116"/>
      <c r="P36"/>
      <c r="Q36" s="258">
        <v>16</v>
      </c>
      <c r="R36" s="259">
        <v>0.27</v>
      </c>
      <c r="S36" s="264"/>
      <c r="T36"/>
      <c r="U36" s="117">
        <v>7.13</v>
      </c>
      <c r="V36" s="118">
        <v>6.99</v>
      </c>
      <c r="W36" s="119">
        <v>6.41</v>
      </c>
      <c r="X36"/>
      <c r="Y36" s="120">
        <v>15.6</v>
      </c>
      <c r="Z36" s="121">
        <v>16.5</v>
      </c>
      <c r="AA36" s="122">
        <v>18.1</v>
      </c>
      <c r="AB36"/>
      <c r="AC36" s="117">
        <v>5</v>
      </c>
      <c r="AD36" s="123">
        <v>0.01</v>
      </c>
      <c r="AE36" s="124">
        <v>0</v>
      </c>
      <c r="AF36"/>
      <c r="AG36" s="45">
        <f t="shared" si="1"/>
        <v>25</v>
      </c>
      <c r="AH36" s="281"/>
      <c r="AI36" s="125"/>
      <c r="AJ36" s="65">
        <f t="shared" si="2"/>
      </c>
      <c r="AK36" s="125"/>
      <c r="AL36" s="65">
        <f t="shared" si="3"/>
      </c>
      <c r="AM36" s="125"/>
      <c r="AN36" s="65">
        <f t="shared" si="4"/>
      </c>
      <c r="AO36" s="126"/>
      <c r="AP36"/>
      <c r="AQ36" s="127"/>
      <c r="AR36" s="65">
        <f t="shared" si="5"/>
      </c>
      <c r="AS36" s="125"/>
      <c r="AT36" s="65">
        <f t="shared" si="6"/>
      </c>
      <c r="AU36" s="125"/>
      <c r="AV36" s="65">
        <f t="shared" si="7"/>
      </c>
      <c r="AW36"/>
      <c r="AX36" s="127"/>
      <c r="AY36" s="128"/>
      <c r="AZ36" s="129"/>
      <c r="BA36" s="125"/>
      <c r="BB36" s="129"/>
      <c r="BC36" s="125"/>
      <c r="BD36" s="125"/>
      <c r="BE36" s="130"/>
      <c r="BF36"/>
      <c r="BG36" s="127"/>
      <c r="BH36" s="110"/>
      <c r="BI36" s="131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 s="19"/>
      <c r="CK36" s="27"/>
      <c r="CL36"/>
      <c r="CM36"/>
      <c r="CN36"/>
      <c r="CO36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B37"/>
      <c r="C37" s="84">
        <v>2937192</v>
      </c>
      <c r="D37" s="137">
        <f t="shared" si="0"/>
        <v>2.11</v>
      </c>
      <c r="E37" s="139">
        <v>3.6</v>
      </c>
      <c r="F37" s="140">
        <v>0.6</v>
      </c>
      <c r="G37" s="81" t="str">
        <f t="shared" si="8"/>
        <v>0.00</v>
      </c>
      <c r="H37" s="84">
        <v>2200</v>
      </c>
      <c r="I37" s="85">
        <v>10000</v>
      </c>
      <c r="J37"/>
      <c r="K37" s="86" t="s">
        <v>208</v>
      </c>
      <c r="L37" s="84">
        <v>56</v>
      </c>
      <c r="M37" s="87">
        <v>0</v>
      </c>
      <c r="N37"/>
      <c r="O37" s="106"/>
      <c r="P37"/>
      <c r="Q37" s="107">
        <v>18</v>
      </c>
      <c r="R37" s="152">
        <v>0.26</v>
      </c>
      <c r="S37" s="108">
        <v>10</v>
      </c>
      <c r="T37"/>
      <c r="U37" s="92">
        <v>7.13</v>
      </c>
      <c r="V37" s="93">
        <v>6.94</v>
      </c>
      <c r="W37" s="94">
        <v>6.56</v>
      </c>
      <c r="X37"/>
      <c r="Y37" s="89">
        <v>17.2</v>
      </c>
      <c r="Z37" s="95">
        <v>16.8</v>
      </c>
      <c r="AA37" s="91">
        <v>18.1</v>
      </c>
      <c r="AB37"/>
      <c r="AC37" s="92">
        <v>6.5</v>
      </c>
      <c r="AD37" s="90">
        <v>0.01</v>
      </c>
      <c r="AE37" s="96">
        <v>0</v>
      </c>
      <c r="AF37"/>
      <c r="AG37" s="45">
        <f t="shared" si="1"/>
        <v>26</v>
      </c>
      <c r="AH37" s="281"/>
      <c r="AI37" s="97"/>
      <c r="AJ37" s="55">
        <f t="shared" si="2"/>
      </c>
      <c r="AK37" s="97"/>
      <c r="AL37" s="55">
        <f t="shared" si="3"/>
      </c>
      <c r="AM37" s="97"/>
      <c r="AN37" s="55">
        <f t="shared" si="4"/>
      </c>
      <c r="AO37" s="109"/>
      <c r="AP37"/>
      <c r="AQ37" s="99"/>
      <c r="AR37" s="55">
        <f t="shared" si="5"/>
      </c>
      <c r="AS37" s="97"/>
      <c r="AT37" s="55">
        <f t="shared" si="6"/>
      </c>
      <c r="AU37" s="97"/>
      <c r="AV37" s="55">
        <f t="shared" si="7"/>
      </c>
      <c r="AW37"/>
      <c r="AX37" s="99"/>
      <c r="AY37" s="100"/>
      <c r="AZ37" s="101"/>
      <c r="BA37" s="97"/>
      <c r="BB37" s="101"/>
      <c r="BC37" s="97"/>
      <c r="BD37" s="97"/>
      <c r="BE37" s="102"/>
      <c r="BF37"/>
      <c r="BG37" s="99"/>
      <c r="BH37" s="83"/>
      <c r="BI37" s="103"/>
      <c r="BJ37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D37"/>
      <c r="CE37"/>
      <c r="CF37"/>
      <c r="CG37"/>
      <c r="CH37"/>
      <c r="CI37"/>
      <c r="CJ37" s="344">
        <f>(IF(((SUM(AJ12:AJ42))=0)," ",(((AJ47-(D47*AO47*8.346))/AJ47)*100)))</f>
        <v>96.37994832081786</v>
      </c>
      <c r="CK37" s="345"/>
      <c r="CL37"/>
      <c r="CM37"/>
      <c r="CN37"/>
      <c r="CO37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B38"/>
      <c r="C38" s="84">
        <v>2939373</v>
      </c>
      <c r="D38" s="137">
        <f t="shared" si="0"/>
        <v>2.181</v>
      </c>
      <c r="E38" s="139">
        <v>3.6</v>
      </c>
      <c r="F38" s="140">
        <v>0.6</v>
      </c>
      <c r="G38" s="81" t="str">
        <f t="shared" si="8"/>
        <v>0.00</v>
      </c>
      <c r="H38" s="84">
        <v>1600</v>
      </c>
      <c r="I38" s="85">
        <v>9750</v>
      </c>
      <c r="J38"/>
      <c r="K38" s="86" t="s">
        <v>208</v>
      </c>
      <c r="L38" s="84">
        <v>53</v>
      </c>
      <c r="M38" s="87">
        <v>0.13</v>
      </c>
      <c r="N38"/>
      <c r="O38" s="106"/>
      <c r="P38"/>
      <c r="Q38" s="107">
        <v>16</v>
      </c>
      <c r="R38" s="152">
        <v>0.23</v>
      </c>
      <c r="S38" s="108">
        <v>3</v>
      </c>
      <c r="T38"/>
      <c r="U38" s="92">
        <v>7.1</v>
      </c>
      <c r="V38" s="93">
        <v>6.89</v>
      </c>
      <c r="W38" s="94">
        <v>6.46</v>
      </c>
      <c r="X38"/>
      <c r="Y38" s="89">
        <v>17</v>
      </c>
      <c r="Z38" s="95">
        <v>17</v>
      </c>
      <c r="AA38" s="91">
        <v>18.3</v>
      </c>
      <c r="AB38"/>
      <c r="AC38" s="92">
        <v>11</v>
      </c>
      <c r="AD38" s="90">
        <v>0.01</v>
      </c>
      <c r="AE38" s="96">
        <v>0</v>
      </c>
      <c r="AF38"/>
      <c r="AG38" s="45">
        <f t="shared" si="1"/>
        <v>27</v>
      </c>
      <c r="AH38" s="281"/>
      <c r="AI38" s="97"/>
      <c r="AJ38" s="55">
        <f t="shared" si="2"/>
      </c>
      <c r="AK38" s="97"/>
      <c r="AL38" s="55">
        <f t="shared" si="3"/>
      </c>
      <c r="AM38" s="97"/>
      <c r="AN38" s="55">
        <f t="shared" si="4"/>
      </c>
      <c r="AO38" s="109"/>
      <c r="AP38"/>
      <c r="AQ38" s="99"/>
      <c r="AR38" s="55">
        <f t="shared" si="5"/>
      </c>
      <c r="AS38" s="97"/>
      <c r="AT38" s="55">
        <f t="shared" si="6"/>
      </c>
      <c r="AU38" s="97"/>
      <c r="AV38" s="55">
        <f t="shared" si="7"/>
      </c>
      <c r="AW38"/>
      <c r="AX38" s="99">
        <v>14805</v>
      </c>
      <c r="AY38" s="100">
        <v>4</v>
      </c>
      <c r="AZ38" s="101">
        <v>2</v>
      </c>
      <c r="BA38" s="97">
        <v>18.6</v>
      </c>
      <c r="BB38" s="101">
        <v>33</v>
      </c>
      <c r="BC38" s="97">
        <v>12</v>
      </c>
      <c r="BD38" s="97">
        <v>1020</v>
      </c>
      <c r="BE38" s="102">
        <v>12.39</v>
      </c>
      <c r="BF38"/>
      <c r="BG38" s="99">
        <v>12</v>
      </c>
      <c r="BH38" s="83" t="s">
        <v>223</v>
      </c>
      <c r="BI38" s="103" t="s">
        <v>226</v>
      </c>
      <c r="BJ38"/>
      <c r="BK38" s="17"/>
      <c r="BL38" s="19"/>
      <c r="BM38" s="56" t="s">
        <v>117</v>
      </c>
      <c r="BN38" s="20"/>
      <c r="BO38" s="57" t="s">
        <v>130</v>
      </c>
      <c r="BP38" s="26"/>
      <c r="BQ38" s="238" t="s">
        <v>150</v>
      </c>
      <c r="BR38" s="238" t="s">
        <v>150</v>
      </c>
      <c r="BS38" s="238" t="s">
        <v>150</v>
      </c>
      <c r="BT38" s="104"/>
      <c r="BU38" s="145">
        <f>(AN49)</f>
        <v>95.14817733719605</v>
      </c>
      <c r="BV38" s="238" t="s">
        <v>150</v>
      </c>
      <c r="BW38" s="238" t="s">
        <v>150</v>
      </c>
      <c r="BX38" s="104" t="s">
        <v>129</v>
      </c>
      <c r="BY38" s="104"/>
      <c r="BZ38" s="104">
        <v>0</v>
      </c>
      <c r="CA38" s="144" t="s">
        <v>49</v>
      </c>
      <c r="CB38" s="104" t="s">
        <v>26</v>
      </c>
      <c r="CC38" s="136"/>
      <c r="CD38"/>
      <c r="CE38"/>
      <c r="CF38"/>
      <c r="CG38"/>
      <c r="CH38"/>
      <c r="CI38"/>
      <c r="CJ38" s="61"/>
      <c r="CK38" s="78"/>
      <c r="CL38"/>
      <c r="CM38"/>
      <c r="CN38"/>
      <c r="CO3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B39"/>
      <c r="C39" s="84">
        <v>2941630</v>
      </c>
      <c r="D39" s="137">
        <f t="shared" si="0"/>
        <v>2.257</v>
      </c>
      <c r="E39" s="139">
        <v>4.2</v>
      </c>
      <c r="F39" s="140">
        <v>0.6</v>
      </c>
      <c r="G39" s="81" t="str">
        <f t="shared" si="8"/>
        <v>0.00</v>
      </c>
      <c r="H39" s="84">
        <v>4500</v>
      </c>
      <c r="I39" s="85">
        <v>9500</v>
      </c>
      <c r="J39"/>
      <c r="K39" s="86" t="s">
        <v>208</v>
      </c>
      <c r="L39" s="84">
        <v>52</v>
      </c>
      <c r="M39" s="87">
        <v>0.37</v>
      </c>
      <c r="N39"/>
      <c r="O39" s="106"/>
      <c r="P39"/>
      <c r="Q39" s="107">
        <v>17</v>
      </c>
      <c r="R39" s="152">
        <v>0.24</v>
      </c>
      <c r="S39" s="108"/>
      <c r="T39"/>
      <c r="U39" s="92">
        <v>7.02</v>
      </c>
      <c r="V39" s="93">
        <v>6.92</v>
      </c>
      <c r="W39" s="94">
        <v>6.48</v>
      </c>
      <c r="X39"/>
      <c r="Y39" s="89">
        <v>16.9</v>
      </c>
      <c r="Z39" s="95">
        <v>16.9</v>
      </c>
      <c r="AA39" s="91">
        <v>18.2</v>
      </c>
      <c r="AB39"/>
      <c r="AC39" s="92">
        <v>7</v>
      </c>
      <c r="AD39" s="90">
        <v>0.01</v>
      </c>
      <c r="AE39" s="96">
        <v>0.01</v>
      </c>
      <c r="AF39"/>
      <c r="AG39" s="45">
        <f t="shared" si="1"/>
        <v>28</v>
      </c>
      <c r="AH39" s="281"/>
      <c r="AI39" s="97">
        <v>292</v>
      </c>
      <c r="AJ39" s="55">
        <f t="shared" si="2"/>
        <v>5496.42696</v>
      </c>
      <c r="AK39" s="97"/>
      <c r="AL39" s="55">
        <f t="shared" si="3"/>
      </c>
      <c r="AM39" s="97">
        <v>15</v>
      </c>
      <c r="AN39" s="55">
        <f t="shared" si="4"/>
        <v>282.3507</v>
      </c>
      <c r="AO39" s="109">
        <v>10</v>
      </c>
      <c r="AP39"/>
      <c r="AQ39" s="99">
        <v>174</v>
      </c>
      <c r="AR39" s="55">
        <f t="shared" si="5"/>
        <v>3275.26812</v>
      </c>
      <c r="AS39" s="97"/>
      <c r="AT39" s="55">
        <f t="shared" si="6"/>
      </c>
      <c r="AU39" s="97">
        <v>24</v>
      </c>
      <c r="AV39" s="55">
        <f t="shared" si="7"/>
        <v>451.76112000000006</v>
      </c>
      <c r="AW39"/>
      <c r="AX39" s="99">
        <v>52148</v>
      </c>
      <c r="AY39" s="100">
        <v>4</v>
      </c>
      <c r="AZ39" s="101">
        <v>2.25</v>
      </c>
      <c r="BA39" s="97">
        <v>34.1</v>
      </c>
      <c r="BB39" s="101">
        <v>33</v>
      </c>
      <c r="BC39" s="97">
        <v>24</v>
      </c>
      <c r="BD39" s="97">
        <v>1147.5</v>
      </c>
      <c r="BE39" s="102">
        <v>12.33</v>
      </c>
      <c r="BF39"/>
      <c r="BG39" s="99">
        <v>24</v>
      </c>
      <c r="BH39" s="83" t="s">
        <v>223</v>
      </c>
      <c r="BI39" s="103" t="s">
        <v>226</v>
      </c>
      <c r="BJ39"/>
      <c r="BK39" s="17"/>
      <c r="BL39" s="19"/>
      <c r="BM39" s="26" t="s">
        <v>118</v>
      </c>
      <c r="BN39" s="20"/>
      <c r="BO39" s="153" t="s">
        <v>131</v>
      </c>
      <c r="BP39" s="26"/>
      <c r="BQ39" s="237" t="s">
        <v>150</v>
      </c>
      <c r="BR39" s="237" t="s">
        <v>150</v>
      </c>
      <c r="BS39" s="237" t="s">
        <v>150</v>
      </c>
      <c r="BT39" s="104"/>
      <c r="BU39" s="158">
        <v>85</v>
      </c>
      <c r="BV39" s="237" t="s">
        <v>150</v>
      </c>
      <c r="BW39" s="237" t="s">
        <v>150</v>
      </c>
      <c r="BX39" s="155" t="s">
        <v>129</v>
      </c>
      <c r="BY39" s="104"/>
      <c r="BZ39" s="237" t="s">
        <v>150</v>
      </c>
      <c r="CA39" s="157" t="s">
        <v>49</v>
      </c>
      <c r="CB39" s="155" t="s">
        <v>26</v>
      </c>
      <c r="CC39" s="136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83">
        <v>29</v>
      </c>
      <c r="B40"/>
      <c r="C40" s="84">
        <v>2944038</v>
      </c>
      <c r="D40" s="137">
        <f t="shared" si="0"/>
        <v>2.408</v>
      </c>
      <c r="E40" s="139">
        <v>3.8</v>
      </c>
      <c r="F40" s="140">
        <v>0.6</v>
      </c>
      <c r="G40" s="81" t="str">
        <f t="shared" si="8"/>
        <v>0.00</v>
      </c>
      <c r="H40" s="84">
        <v>7400</v>
      </c>
      <c r="I40" s="85">
        <v>10000</v>
      </c>
      <c r="J40"/>
      <c r="K40" s="86" t="s">
        <v>209</v>
      </c>
      <c r="L40" s="84">
        <v>63</v>
      </c>
      <c r="M40" s="87">
        <v>0</v>
      </c>
      <c r="N40"/>
      <c r="O40" s="106"/>
      <c r="P40"/>
      <c r="Q40" s="107">
        <v>17</v>
      </c>
      <c r="R40" s="152">
        <v>0.25</v>
      </c>
      <c r="S40" s="108">
        <v>3</v>
      </c>
      <c r="T40"/>
      <c r="U40" s="92">
        <v>8.15</v>
      </c>
      <c r="V40" s="93">
        <v>7.08</v>
      </c>
      <c r="W40" s="94">
        <v>6.66</v>
      </c>
      <c r="X40"/>
      <c r="Y40" s="89">
        <v>17.7</v>
      </c>
      <c r="Z40" s="95">
        <v>17.4</v>
      </c>
      <c r="AA40" s="91">
        <v>18.7</v>
      </c>
      <c r="AB40"/>
      <c r="AC40" s="92">
        <v>11</v>
      </c>
      <c r="AD40" s="90">
        <v>0.01</v>
      </c>
      <c r="AE40" s="96">
        <v>0</v>
      </c>
      <c r="AF40"/>
      <c r="AG40" s="45">
        <f t="shared" si="1"/>
        <v>29</v>
      </c>
      <c r="AH40" s="281"/>
      <c r="AI40" s="97">
        <v>315</v>
      </c>
      <c r="AJ40" s="55">
        <f t="shared" si="2"/>
        <v>6326.056799999999</v>
      </c>
      <c r="AK40" s="97"/>
      <c r="AL40" s="55">
        <f t="shared" si="3"/>
      </c>
      <c r="AM40" s="97">
        <v>19</v>
      </c>
      <c r="AN40" s="55">
        <f t="shared" si="4"/>
        <v>381.57167999999996</v>
      </c>
      <c r="AO40" s="109">
        <v>13</v>
      </c>
      <c r="AP40"/>
      <c r="AQ40" s="99">
        <v>332</v>
      </c>
      <c r="AR40" s="55">
        <f t="shared" si="5"/>
        <v>6667.46304</v>
      </c>
      <c r="AS40" s="97"/>
      <c r="AT40" s="55">
        <f t="shared" si="6"/>
      </c>
      <c r="AU40" s="97">
        <v>29</v>
      </c>
      <c r="AV40" s="55">
        <f t="shared" si="7"/>
        <v>582.39888</v>
      </c>
      <c r="AW40"/>
      <c r="AX40" s="99">
        <v>26495</v>
      </c>
      <c r="AY40" s="100">
        <v>4</v>
      </c>
      <c r="AZ40" s="101">
        <v>2</v>
      </c>
      <c r="BA40" s="97">
        <v>15.5</v>
      </c>
      <c r="BB40" s="101">
        <v>34</v>
      </c>
      <c r="BC40" s="97">
        <v>12</v>
      </c>
      <c r="BD40" s="97">
        <v>1020</v>
      </c>
      <c r="BE40" s="102">
        <v>12.31</v>
      </c>
      <c r="BF40"/>
      <c r="BG40" s="99">
        <v>12</v>
      </c>
      <c r="BH40" s="83" t="s">
        <v>223</v>
      </c>
      <c r="BI40" s="103" t="s">
        <v>226</v>
      </c>
      <c r="BJ40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83">
        <v>30</v>
      </c>
      <c r="B41"/>
      <c r="C41" s="84">
        <v>2946324</v>
      </c>
      <c r="D41" s="137">
        <f t="shared" si="0"/>
        <v>2.286</v>
      </c>
      <c r="E41" s="139">
        <v>4.4</v>
      </c>
      <c r="F41" s="140">
        <v>0.6</v>
      </c>
      <c r="G41" s="81" t="str">
        <f t="shared" si="8"/>
        <v>0.00</v>
      </c>
      <c r="H41" s="84">
        <v>5100</v>
      </c>
      <c r="I41" s="85">
        <v>8300</v>
      </c>
      <c r="J41"/>
      <c r="K41" s="86" t="s">
        <v>209</v>
      </c>
      <c r="L41" s="84">
        <v>63</v>
      </c>
      <c r="M41" s="87">
        <v>0.01</v>
      </c>
      <c r="N41"/>
      <c r="O41" s="106"/>
      <c r="P41"/>
      <c r="Q41" s="107">
        <v>17</v>
      </c>
      <c r="R41" s="152">
        <v>0.19</v>
      </c>
      <c r="S41" s="108"/>
      <c r="T41"/>
      <c r="U41" s="92">
        <v>7.05</v>
      </c>
      <c r="V41" s="93">
        <v>6.91</v>
      </c>
      <c r="W41" s="94">
        <v>6.48</v>
      </c>
      <c r="X41"/>
      <c r="Y41" s="89">
        <v>16.3</v>
      </c>
      <c r="Z41" s="95">
        <v>17.1</v>
      </c>
      <c r="AA41" s="91">
        <v>18.6</v>
      </c>
      <c r="AB41"/>
      <c r="AC41" s="92">
        <v>8</v>
      </c>
      <c r="AD41" s="90">
        <v>0.01</v>
      </c>
      <c r="AE41" s="96">
        <v>0</v>
      </c>
      <c r="AF41"/>
      <c r="AG41" s="45">
        <f t="shared" si="1"/>
        <v>30</v>
      </c>
      <c r="AH41" s="281"/>
      <c r="AI41" s="97">
        <v>307</v>
      </c>
      <c r="AJ41" s="55">
        <f t="shared" si="2"/>
        <v>5853.02868</v>
      </c>
      <c r="AK41" s="97">
        <v>188</v>
      </c>
      <c r="AL41" s="55">
        <f t="shared" si="3"/>
        <v>3584.26512</v>
      </c>
      <c r="AM41" s="97">
        <v>15</v>
      </c>
      <c r="AN41" s="55">
        <f t="shared" si="4"/>
        <v>285.9786</v>
      </c>
      <c r="AO41" s="109">
        <v>10</v>
      </c>
      <c r="AP41"/>
      <c r="AQ41" s="99">
        <v>314</v>
      </c>
      <c r="AR41" s="55">
        <f t="shared" si="5"/>
        <v>5986.48536</v>
      </c>
      <c r="AS41" s="97">
        <v>80</v>
      </c>
      <c r="AT41" s="55">
        <f t="shared" si="6"/>
        <v>1525.2192</v>
      </c>
      <c r="AU41" s="97">
        <v>29</v>
      </c>
      <c r="AV41" s="55">
        <f t="shared" si="7"/>
        <v>552.8919599999999</v>
      </c>
      <c r="AW41"/>
      <c r="AX41" s="99"/>
      <c r="AY41" s="100"/>
      <c r="AZ41" s="101"/>
      <c r="BA41" s="97"/>
      <c r="BB41" s="101"/>
      <c r="BC41" s="97"/>
      <c r="BD41" s="97"/>
      <c r="BE41" s="102"/>
      <c r="BF41"/>
      <c r="BG41" s="99"/>
      <c r="BH41" s="83"/>
      <c r="BI41" s="103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83">
        <v>31</v>
      </c>
      <c r="B42"/>
      <c r="C42" s="112">
        <v>2948749</v>
      </c>
      <c r="D42" s="138">
        <f t="shared" si="0"/>
        <v>2.425</v>
      </c>
      <c r="E42" s="141">
        <v>3.6</v>
      </c>
      <c r="F42" s="142">
        <v>0.6</v>
      </c>
      <c r="G42" s="183" t="str">
        <f t="shared" si="8"/>
        <v>0.00</v>
      </c>
      <c r="H42" s="112">
        <v>0</v>
      </c>
      <c r="I42" s="113">
        <v>0</v>
      </c>
      <c r="J42"/>
      <c r="K42" s="114" t="s">
        <v>208</v>
      </c>
      <c r="L42" s="112">
        <v>67</v>
      </c>
      <c r="M42" s="115">
        <v>0</v>
      </c>
      <c r="N42"/>
      <c r="O42" s="116"/>
      <c r="P42"/>
      <c r="Q42" s="258">
        <v>19</v>
      </c>
      <c r="R42" s="259">
        <v>0.22</v>
      </c>
      <c r="S42" s="113"/>
      <c r="T42"/>
      <c r="U42" s="133">
        <v>7.08</v>
      </c>
      <c r="V42" s="134">
        <v>6.95</v>
      </c>
      <c r="W42" s="135">
        <v>6.4</v>
      </c>
      <c r="X42"/>
      <c r="Y42" s="132">
        <v>16.8</v>
      </c>
      <c r="Z42" s="112">
        <v>17.2</v>
      </c>
      <c r="AA42" s="113">
        <v>19.2</v>
      </c>
      <c r="AB42"/>
      <c r="AC42" s="133">
        <v>5</v>
      </c>
      <c r="AD42" s="111">
        <v>0.01</v>
      </c>
      <c r="AE42" s="115">
        <v>0</v>
      </c>
      <c r="AF42"/>
      <c r="AG42" s="45">
        <f t="shared" si="1"/>
        <v>31</v>
      </c>
      <c r="AH42" s="281"/>
      <c r="AI42" s="125"/>
      <c r="AJ42" s="65">
        <f t="shared" si="2"/>
      </c>
      <c r="AK42" s="125"/>
      <c r="AL42" s="65">
        <f t="shared" si="3"/>
      </c>
      <c r="AM42" s="125"/>
      <c r="AN42" s="65">
        <f t="shared" si="4"/>
      </c>
      <c r="AO42" s="126"/>
      <c r="AP42"/>
      <c r="AQ42" s="127"/>
      <c r="AR42" s="65">
        <f t="shared" si="5"/>
      </c>
      <c r="AS42" s="125"/>
      <c r="AT42" s="65">
        <f t="shared" si="6"/>
      </c>
      <c r="AU42" s="125"/>
      <c r="AV42" s="65">
        <f t="shared" si="7"/>
      </c>
      <c r="AW42"/>
      <c r="AX42" s="127"/>
      <c r="AY42" s="128"/>
      <c r="AZ42" s="129"/>
      <c r="BA42" s="125"/>
      <c r="BB42" s="129"/>
      <c r="BC42" s="125"/>
      <c r="BD42" s="125"/>
      <c r="BE42" s="130"/>
      <c r="BF42"/>
      <c r="BG42" s="127"/>
      <c r="BH42" s="110"/>
      <c r="BI42" s="131"/>
      <c r="BJ42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B43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J43"/>
      <c r="K43" s="51"/>
      <c r="L43" s="188"/>
      <c r="M43" s="190"/>
      <c r="N43"/>
      <c r="O43" s="191"/>
      <c r="P43"/>
      <c r="Q43" s="188"/>
      <c r="R43" s="190"/>
      <c r="S43" s="188"/>
      <c r="T43"/>
      <c r="U43" s="191"/>
      <c r="V43" s="191"/>
      <c r="W43" s="191"/>
      <c r="X43"/>
      <c r="Y43" s="188"/>
      <c r="Z43" s="188"/>
      <c r="AA43" s="188"/>
      <c r="AB43"/>
      <c r="AC43" s="191"/>
      <c r="AD43" s="190"/>
      <c r="AE43" s="190"/>
      <c r="AF43"/>
      <c r="AG43" s="45"/>
      <c r="AH43"/>
      <c r="AI43" s="192"/>
      <c r="AJ43" s="192"/>
      <c r="AK43" s="192"/>
      <c r="AL43" s="192"/>
      <c r="AM43" s="192"/>
      <c r="AN43" s="192"/>
      <c r="AO43" s="192"/>
      <c r="AP43"/>
      <c r="AQ43" s="192"/>
      <c r="AR43" s="192"/>
      <c r="AS43" s="192"/>
      <c r="AT43" s="192"/>
      <c r="AU43" s="192"/>
      <c r="AV43" s="192"/>
      <c r="AW43"/>
      <c r="AX43" s="192"/>
      <c r="AY43" s="193"/>
      <c r="AZ43" s="193"/>
      <c r="BA43" s="192"/>
      <c r="BB43" s="193"/>
      <c r="BC43" s="192"/>
      <c r="BD43" s="192"/>
      <c r="BE43" s="194"/>
      <c r="BF43"/>
      <c r="BG43" s="192"/>
      <c r="BH43" s="51"/>
      <c r="BI43" s="51"/>
      <c r="BJ43"/>
      <c r="BK43" s="17"/>
      <c r="BL43" s="19"/>
      <c r="BM43" s="56" t="s">
        <v>21</v>
      </c>
      <c r="BN43" s="20"/>
      <c r="BO43" s="57" t="s">
        <v>130</v>
      </c>
      <c r="BP43" s="26"/>
      <c r="BQ43" s="238" t="s">
        <v>150</v>
      </c>
      <c r="BR43" s="238" t="s">
        <v>150</v>
      </c>
      <c r="BS43" s="238" t="s">
        <v>150</v>
      </c>
      <c r="BT43" s="104"/>
      <c r="BU43" s="145">
        <f>(AU49)</f>
        <v>91.91063174114021</v>
      </c>
      <c r="BV43" s="238" t="s">
        <v>150</v>
      </c>
      <c r="BW43" s="238" t="s">
        <v>150</v>
      </c>
      <c r="BX43" s="104" t="s">
        <v>129</v>
      </c>
      <c r="BY43" s="104"/>
      <c r="BZ43" s="104">
        <v>0</v>
      </c>
      <c r="CA43" s="144" t="s">
        <v>49</v>
      </c>
      <c r="CB43" s="104" t="s">
        <v>26</v>
      </c>
      <c r="CC43" s="136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B44"/>
      <c r="C44" s="188">
        <f>(IF(((SUM(C12:C42))=0)," ",((MAX(C12:C42))-C11)))</f>
        <v>70410</v>
      </c>
      <c r="D44" s="227">
        <f>(IF(((SUM(D12:D42))=0)," ",(SUM(D12:D42))))</f>
        <v>70.41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82950</v>
      </c>
      <c r="I44" s="195">
        <f>(IF(((SUM(I12:I42))=0)," ",(SUM(I12:I42))))</f>
        <v>192250</v>
      </c>
      <c r="J44"/>
      <c r="K44" s="199" t="s">
        <v>150</v>
      </c>
      <c r="L44" s="200" t="s">
        <v>150</v>
      </c>
      <c r="M44" s="201">
        <f>(IF(((SUM(M12:M42))=0)," ",(SUM(M11:M42))))</f>
        <v>3.919999999999999</v>
      </c>
      <c r="N44"/>
      <c r="O44" s="202" t="str">
        <f>(IF(((SUM(O12:O42))=0),"0.0",(SUM(O11:O42))))</f>
        <v>0.0</v>
      </c>
      <c r="P44"/>
      <c r="Q44" s="198">
        <f>(IF(((SUM(Q12:Q42))=0),"0",(SUM(Q11:Q42))))</f>
        <v>516</v>
      </c>
      <c r="R44" s="203" t="s">
        <v>150</v>
      </c>
      <c r="S44" s="204" t="s">
        <v>150</v>
      </c>
      <c r="T44"/>
      <c r="U44" s="205" t="s">
        <v>150</v>
      </c>
      <c r="V44" s="200" t="s">
        <v>150</v>
      </c>
      <c r="W44" s="206" t="s">
        <v>150</v>
      </c>
      <c r="X44"/>
      <c r="Y44" s="207" t="s">
        <v>150</v>
      </c>
      <c r="Z44" s="208" t="s">
        <v>150</v>
      </c>
      <c r="AA44" s="204" t="s">
        <v>150</v>
      </c>
      <c r="AB44"/>
      <c r="AC44" s="205" t="s">
        <v>150</v>
      </c>
      <c r="AD44" s="203" t="s">
        <v>150</v>
      </c>
      <c r="AE44" s="209" t="s">
        <v>150</v>
      </c>
      <c r="AF44"/>
      <c r="AG44" s="26" t="str">
        <f>($A44)</f>
        <v>Total</v>
      </c>
      <c r="AH44"/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P44"/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W44"/>
      <c r="AX44" s="198">
        <f>(IF(((SUM(AX12:AX42))=0)," ",(SUM(AX12:AX42))))</f>
        <v>449142</v>
      </c>
      <c r="AY44" s="200" t="s">
        <v>150</v>
      </c>
      <c r="AZ44" s="211">
        <f>(IF(((SUM(AZ12:AZ42))=0)," ",(SUM(AZ12:AZ42))))</f>
        <v>33</v>
      </c>
      <c r="BA44" s="198">
        <f>(IF(((SUM(BA12:BA42))=0)," ",(SUM(BA12:BA42))))</f>
        <v>319.1</v>
      </c>
      <c r="BB44" s="206" t="s">
        <v>150</v>
      </c>
      <c r="BC44" s="198">
        <f>(IF(((SUM(BC12:BC42))=0)," ",(SUM(BC12:BC42))))</f>
        <v>213</v>
      </c>
      <c r="BD44" s="188">
        <f>(IF(((SUM(BD12:BD42))=0)," ",(SUM(BD12:BD42))))</f>
        <v>13478</v>
      </c>
      <c r="BE44" s="209" t="s">
        <v>150</v>
      </c>
      <c r="BF44"/>
      <c r="BG44" s="212">
        <f>(IF(((SUM(BG12:BG42))=0)," ",(SUM(BG12:BG42))))</f>
        <v>213</v>
      </c>
      <c r="BH44" s="213" t="s">
        <v>150</v>
      </c>
      <c r="BI44" s="214" t="s">
        <v>150</v>
      </c>
      <c r="BJ44"/>
      <c r="BK44" s="17"/>
      <c r="BL44" s="19"/>
      <c r="BM44" s="26" t="s">
        <v>118</v>
      </c>
      <c r="BN44" s="20"/>
      <c r="BO44" s="153" t="s">
        <v>131</v>
      </c>
      <c r="BP44" s="26"/>
      <c r="BQ44" s="237" t="s">
        <v>150</v>
      </c>
      <c r="BR44" s="237" t="s">
        <v>150</v>
      </c>
      <c r="BS44" s="237" t="s">
        <v>150</v>
      </c>
      <c r="BT44" s="104"/>
      <c r="BU44" s="158">
        <v>85</v>
      </c>
      <c r="BV44" s="237" t="s">
        <v>150</v>
      </c>
      <c r="BW44" s="237" t="s">
        <v>150</v>
      </c>
      <c r="BX44" s="155" t="s">
        <v>129</v>
      </c>
      <c r="BY44" s="104"/>
      <c r="BZ44" s="237" t="s">
        <v>150</v>
      </c>
      <c r="CA44" s="157" t="s">
        <v>49</v>
      </c>
      <c r="CB44" s="155" t="s">
        <v>26</v>
      </c>
      <c r="CC44" s="136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B45"/>
      <c r="C45" s="178" t="s">
        <v>150</v>
      </c>
      <c r="D45" s="216">
        <f>(IF((SUM(D12:D42))=0," ",(MAX(D12:D42))))</f>
        <v>2.77</v>
      </c>
      <c r="E45" s="215">
        <f>(IF((SUM(E12:E42))=0," ",(MAX(E12:E42))))</f>
        <v>10.2</v>
      </c>
      <c r="F45" s="216">
        <f>(IF((SUM(F12:F42))=0," ",(MAX(F12:F42))))</f>
        <v>0.8</v>
      </c>
      <c r="G45" s="215">
        <f>(MAX(G12:G42))</f>
        <v>0</v>
      </c>
      <c r="H45" s="161">
        <f>(IF((SUM(H12:H42))=0," ",(MAX(H12:H42))))</f>
        <v>7500</v>
      </c>
      <c r="I45" s="162">
        <f>(IF((SUM(I12:I42))=0," ",(MAX(I12:I42))))</f>
        <v>14500</v>
      </c>
      <c r="J45"/>
      <c r="K45" s="179" t="s">
        <v>150</v>
      </c>
      <c r="L45" s="182">
        <f>(IF((SUM(L12:L42))=0," ",(MAX(L12:L42))))</f>
        <v>70</v>
      </c>
      <c r="M45" s="218">
        <f>(IF((SUM(M12:M42))=0," ",(MAX(M12:M42))))</f>
        <v>1.47</v>
      </c>
      <c r="N45"/>
      <c r="O45" s="219" t="s">
        <v>150</v>
      </c>
      <c r="P45"/>
      <c r="Q45" s="220" t="s">
        <v>150</v>
      </c>
      <c r="R45" s="183">
        <f>(IF(((SUM(R12:R42))=0),"-",(MAX(R12:R42))))</f>
        <v>0.39</v>
      </c>
      <c r="S45" s="162">
        <f>(IF(((SUM(S12:S42))=0),"-",(MAX(S12:S42))))</f>
        <v>79</v>
      </c>
      <c r="T45"/>
      <c r="U45" s="221">
        <f>(IF((SUM(U12:U42))=0," ",(MAX(U12:U42))))</f>
        <v>8.15</v>
      </c>
      <c r="V45" s="182">
        <f>(IF((SUM(V12:V42))=0," ",(MAX(V12:V42))))</f>
        <v>7.08</v>
      </c>
      <c r="W45" s="222">
        <f>(IF((SUM(W12:W42))=0," ",(MAX(W12:W42))))</f>
        <v>6.68</v>
      </c>
      <c r="X45"/>
      <c r="Y45" s="217">
        <f>(IF((SUM(Y12:Y42))=0," ",(MAX(Y12:Y42))))</f>
        <v>17.7</v>
      </c>
      <c r="Z45" s="161">
        <f>(IF((SUM(Z12:Z42))=0," ",(MAX(Z12:Z42))))</f>
        <v>17.4</v>
      </c>
      <c r="AA45" s="162">
        <f>(IF((SUM(AA12:AA42))=0," ",(MAX(AA12:AA42))))</f>
        <v>19.2</v>
      </c>
      <c r="AB45"/>
      <c r="AC45" s="221">
        <f>(IF((SUM(AC12:AC42))=0," ",(MAX(AC12:AC42))))</f>
        <v>26</v>
      </c>
      <c r="AD45" s="183">
        <f>(IF((SUM(AD12:AD42))=0," ",(MAX(AD12:AD42))))</f>
        <v>0.3</v>
      </c>
      <c r="AE45" s="218">
        <f>(IF((COUNT(AE12:AE42))=0," ",(MAX(AE12:AE42))))</f>
        <v>0.01</v>
      </c>
      <c r="AF45"/>
      <c r="AG45" s="26" t="str">
        <f>($A45)</f>
        <v>Maximum</v>
      </c>
      <c r="AH45"/>
      <c r="AI45" s="161">
        <f aca="true" t="shared" si="9" ref="AI45:AO45">(IF((SUM(AI12:AI42))=0," ",(MAX(AI12:AI42))))</f>
        <v>315</v>
      </c>
      <c r="AJ45" s="161">
        <f t="shared" si="9"/>
        <v>6326.056799999999</v>
      </c>
      <c r="AK45" s="217">
        <f t="shared" si="9"/>
        <v>212</v>
      </c>
      <c r="AL45" s="162">
        <f t="shared" si="9"/>
        <v>4156.75608</v>
      </c>
      <c r="AM45" s="217">
        <f t="shared" si="9"/>
        <v>19</v>
      </c>
      <c r="AN45" s="162">
        <f t="shared" si="9"/>
        <v>381.57167999999996</v>
      </c>
      <c r="AO45" s="223">
        <f t="shared" si="9"/>
        <v>15</v>
      </c>
      <c r="AP45"/>
      <c r="AQ45" s="217">
        <f aca="true" t="shared" si="10" ref="AQ45:AV45">(IF((SUM(AQ12:AQ42))=0," ",(MAX(AQ12:AQ42))))</f>
        <v>332</v>
      </c>
      <c r="AR45" s="162">
        <f t="shared" si="10"/>
        <v>6667.46304</v>
      </c>
      <c r="AS45" s="217">
        <f t="shared" si="10"/>
        <v>96</v>
      </c>
      <c r="AT45" s="162">
        <f t="shared" si="10"/>
        <v>1973.5775999999998</v>
      </c>
      <c r="AU45" s="217">
        <f t="shared" si="10"/>
        <v>29</v>
      </c>
      <c r="AV45" s="162">
        <f t="shared" si="10"/>
        <v>582.39888</v>
      </c>
      <c r="AW45"/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36</v>
      </c>
      <c r="BC45" s="220" t="s">
        <v>150</v>
      </c>
      <c r="BD45" s="178" t="s">
        <v>150</v>
      </c>
      <c r="BE45" s="218">
        <f>(IF((SUM(BE12:BE42))=0," ",(MAX(BE12:BE42))))</f>
        <v>12.39</v>
      </c>
      <c r="BF45"/>
      <c r="BG45" s="225" t="s">
        <v>150</v>
      </c>
      <c r="BH45" s="180" t="s">
        <v>150</v>
      </c>
      <c r="BI45" s="181" t="s">
        <v>150</v>
      </c>
      <c r="BJ45"/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B46"/>
      <c r="C46" s="208" t="s">
        <v>150</v>
      </c>
      <c r="D46" s="227">
        <f>(IF((SUM(D12:D42))=0," ",(MIN(D12:D42))))</f>
        <v>1.939</v>
      </c>
      <c r="E46" s="226">
        <f>(IF((SUM(E12:E42))=0," ",(MIN(E12:E42))))</f>
        <v>3.6</v>
      </c>
      <c r="F46" s="227">
        <f>(IF((SUM(F12:F42))=0," ",(MIN(F12:F42))))</f>
        <v>0.6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J46"/>
      <c r="K46" s="199" t="s">
        <v>150</v>
      </c>
      <c r="L46" s="191">
        <f>(IF((SUM(L12:L42))=0," ",(MIN(L12:L42))))</f>
        <v>52</v>
      </c>
      <c r="M46" s="201">
        <f>(IF((SUM(M12:M42))=0," ",(MIN(M12:M42))))</f>
        <v>0</v>
      </c>
      <c r="N46"/>
      <c r="O46" s="228" t="s">
        <v>150</v>
      </c>
      <c r="P46"/>
      <c r="Q46" s="207" t="s">
        <v>150</v>
      </c>
      <c r="R46" s="190">
        <f>(IF(((SUM(R12:R42))=0),"-",(MIN(R12:R42))))</f>
        <v>0.19</v>
      </c>
      <c r="S46" s="195">
        <f>(IF(((SUM(S12:S42))=0),"-",(MIN(S12:S42))))</f>
        <v>2</v>
      </c>
      <c r="T46"/>
      <c r="U46" s="229">
        <f>(IF((SUM(U12:U42))=0," ",(MIN(U12:U42))))</f>
        <v>6.71</v>
      </c>
      <c r="V46" s="191">
        <f>(IF((SUM(V12:V42))=0," ",(MIN(V12:V42))))</f>
        <v>6.25</v>
      </c>
      <c r="W46" s="211">
        <f>(IF((SUM(W12:W42))=0," ",(MIN(W12:W42))))</f>
        <v>6.31</v>
      </c>
      <c r="X46"/>
      <c r="Y46" s="198">
        <f aca="true" t="shared" si="11" ref="Y46:AD46">(IF((SUM(Y12:Y42))=0," ",(MIN(Y12:Y42))))</f>
        <v>14.9</v>
      </c>
      <c r="Z46" s="188">
        <f t="shared" si="11"/>
        <v>15.5</v>
      </c>
      <c r="AA46" s="195">
        <f t="shared" si="11"/>
        <v>17</v>
      </c>
      <c r="AB46" t="str">
        <f t="shared" si="11"/>
        <v> </v>
      </c>
      <c r="AC46" s="229">
        <f t="shared" si="11"/>
        <v>2</v>
      </c>
      <c r="AD46" s="190">
        <f t="shared" si="11"/>
        <v>0</v>
      </c>
      <c r="AE46" s="201">
        <f>(IF((COUNT(AE12:AE42))=0," ",(MIN(AE12:AE42))))</f>
        <v>0</v>
      </c>
      <c r="AF46"/>
      <c r="AG46" s="26" t="str">
        <f>($A46)</f>
        <v>Minimum</v>
      </c>
      <c r="AH46"/>
      <c r="AI46" s="188">
        <f aca="true" t="shared" si="12" ref="AI46:AO46">(IF((SUM(AI12:AI42))=0," ",(MIN(AI12:AI42))))</f>
        <v>235</v>
      </c>
      <c r="AJ46" s="188">
        <f t="shared" si="12"/>
        <v>4540.2126</v>
      </c>
      <c r="AK46" s="198">
        <f t="shared" si="12"/>
        <v>162</v>
      </c>
      <c r="AL46" s="195">
        <f t="shared" si="12"/>
        <v>3084.5239800000004</v>
      </c>
      <c r="AM46" s="198">
        <f t="shared" si="12"/>
        <v>10</v>
      </c>
      <c r="AN46" s="195">
        <f t="shared" si="12"/>
        <v>201.3276</v>
      </c>
      <c r="AO46" s="230">
        <f t="shared" si="12"/>
        <v>8</v>
      </c>
      <c r="AP46"/>
      <c r="AQ46" s="198">
        <f aca="true" t="shared" si="13" ref="AQ46:AV46">(IF((SUM(AQ12:AQ42))=0," ",(MIN(AQ12:AQ42))))</f>
        <v>174</v>
      </c>
      <c r="AR46" s="195">
        <f t="shared" si="13"/>
        <v>3275.26812</v>
      </c>
      <c r="AS46" s="198">
        <f t="shared" si="13"/>
        <v>72</v>
      </c>
      <c r="AT46" s="195">
        <f t="shared" si="13"/>
        <v>1411.72848</v>
      </c>
      <c r="AU46" s="198">
        <f t="shared" si="13"/>
        <v>12</v>
      </c>
      <c r="AV46" s="195">
        <f t="shared" si="13"/>
        <v>235.28808</v>
      </c>
      <c r="AW46"/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29</v>
      </c>
      <c r="BC46" s="207" t="s">
        <v>150</v>
      </c>
      <c r="BD46" s="208" t="s">
        <v>150</v>
      </c>
      <c r="BE46" s="201">
        <f>(IF((SUM(BE12:BE42))=0," ",(MIN(BE12:BE42))))</f>
        <v>12.11</v>
      </c>
      <c r="BF46"/>
      <c r="BG46" s="231" t="s">
        <v>150</v>
      </c>
      <c r="BH46" s="213" t="s">
        <v>150</v>
      </c>
      <c r="BI46" s="214" t="s">
        <v>150</v>
      </c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B47"/>
      <c r="C47" s="178" t="s">
        <v>150</v>
      </c>
      <c r="D47" s="216">
        <f>(IF((SUM(D12:D42))=0," ",(AVERAGE(D12:D42))))</f>
        <v>2.271290322580645</v>
      </c>
      <c r="E47" s="215">
        <f>(IF((SUM(E12:E42))=0," ",(AVERAGE(E12:E42))))</f>
        <v>4.025806451612902</v>
      </c>
      <c r="F47" s="216">
        <f>(IF((SUM(F12:F42))=0," ",(AVERAGE(F12:F42))))</f>
        <v>0.6290322580645162</v>
      </c>
      <c r="G47" s="215" t="str">
        <f>(IF((SUM(G12:G42))=0,"0.000",(AVERAGE(G12:G42))))</f>
        <v>0.000</v>
      </c>
      <c r="H47" s="161">
        <f>(IF((SUM(H12:H42))=0," ",(AVERAGE(H12:H42))))</f>
        <v>2675.8064516129034</v>
      </c>
      <c r="I47" s="162">
        <f>(IF((SUM(I12:I42))=0," ",(AVERAGE(I12:I42))))</f>
        <v>6201.612903225807</v>
      </c>
      <c r="J47"/>
      <c r="K47" s="179" t="s">
        <v>150</v>
      </c>
      <c r="L47" s="182">
        <f>(IF((SUM(L12:L42))=0," ",(AVERAGE(L12:L42))))</f>
        <v>64.2258064516129</v>
      </c>
      <c r="M47" s="218">
        <f>(IF((SUM(M12:M42))=0," ",(AVERAGE(M12:M42))))</f>
        <v>0.12645161290322576</v>
      </c>
      <c r="N47"/>
      <c r="O47" s="219" t="s">
        <v>150</v>
      </c>
      <c r="P47"/>
      <c r="Q47" s="217">
        <f>(IF((SUM(Q12:Q42))=0," ",(AVERAGE(Q12:Q42))))</f>
        <v>16.64516129032258</v>
      </c>
      <c r="R47" s="232" t="s">
        <v>150</v>
      </c>
      <c r="S47" s="233" t="s">
        <v>150</v>
      </c>
      <c r="T47"/>
      <c r="U47" s="221">
        <f>(IF((SUM(U12:U42))=0," ",(AVERAGE(U12:U42))))</f>
        <v>7.056129032258065</v>
      </c>
      <c r="V47" s="182">
        <f>(IF((SUM(V12:V42))=0," ",(AVERAGE(V12:V42))))</f>
        <v>6.886451612903225</v>
      </c>
      <c r="W47" s="222">
        <f>(IF((SUM(W12:W42))=0," ",(AVERAGE(W12:W42))))</f>
        <v>6.515483870967743</v>
      </c>
      <c r="X47"/>
      <c r="Y47" s="217">
        <f>(IF((SUM(Y12:Y42))=0," ",(AVERAGE(Y12:Y42))))</f>
        <v>16.18387096774193</v>
      </c>
      <c r="Z47" s="161">
        <f>(IF((SUM(Z12:Z42))=0," ",(AVERAGE(Z12:Z42))))</f>
        <v>16.458064516129035</v>
      </c>
      <c r="AA47" s="162">
        <f>(IF((SUM(AA12:AA42))=0," ",(AVERAGE(AA12:AA42))))</f>
        <v>17.95483870967742</v>
      </c>
      <c r="AB47"/>
      <c r="AC47" s="221">
        <f>(IF((SUM(AC12:AC42))=0," ",(AVERAGE(AC12:AC42))))</f>
        <v>6.887096774193548</v>
      </c>
      <c r="AD47" s="183">
        <f>(IF((SUM(AD12:AD42))=0," ",(AVERAGE(AD12:AD42))))</f>
        <v>0.036451612903225815</v>
      </c>
      <c r="AE47" s="218">
        <f>(IF((COUNT(AE12:AE42))=0," ",(AVERAGE(AE12:AE42))))</f>
        <v>0.0016129032258064516</v>
      </c>
      <c r="AF47"/>
      <c r="AG47" s="26" t="str">
        <f>($A47)</f>
        <v>Average</v>
      </c>
      <c r="AH47"/>
      <c r="AI47" s="161">
        <f aca="true" t="shared" si="14" ref="AI47:AO47">(IF((SUM(AI12:AI42))=0," ",(AVERAGE(AI12:AI42))))</f>
        <v>281.64285714285717</v>
      </c>
      <c r="AJ47" s="161">
        <f t="shared" si="14"/>
        <v>5423.457321428571</v>
      </c>
      <c r="AK47" s="217">
        <f t="shared" si="14"/>
        <v>181.6</v>
      </c>
      <c r="AL47" s="162">
        <f t="shared" si="14"/>
        <v>3556.8665520000004</v>
      </c>
      <c r="AM47" s="217">
        <f t="shared" si="14"/>
        <v>13.642857142857142</v>
      </c>
      <c r="AN47" s="162">
        <f t="shared" si="14"/>
        <v>263.1365314285714</v>
      </c>
      <c r="AO47" s="223">
        <f t="shared" si="14"/>
        <v>10.357142857142858</v>
      </c>
      <c r="AP47"/>
      <c r="AQ47" s="217">
        <f aca="true" t="shared" si="15" ref="AQ47:AV47">(IF((SUM(AQ12:AQ42))=0," ",(AVERAGE(AQ12:AQ42))))</f>
        <v>278.14285714285717</v>
      </c>
      <c r="AR47" s="162">
        <f t="shared" si="15"/>
        <v>5365.206591428571</v>
      </c>
      <c r="AS47" s="217">
        <f t="shared" si="15"/>
        <v>83.2</v>
      </c>
      <c r="AT47" s="162">
        <f t="shared" si="15"/>
        <v>1631.685972</v>
      </c>
      <c r="AU47" s="217">
        <f t="shared" si="15"/>
        <v>22.5</v>
      </c>
      <c r="AV47" s="162">
        <f t="shared" si="15"/>
        <v>434.8553442857143</v>
      </c>
      <c r="AW47"/>
      <c r="AX47" s="217">
        <f aca="true" t="shared" si="16" ref="AX47:BE47">(IF((SUM(AX12:AX42))=0," ",(AVERAGE(AX12:AX42))))</f>
        <v>37428.5</v>
      </c>
      <c r="AY47" s="182">
        <f t="shared" si="16"/>
        <v>3.0833333333333335</v>
      </c>
      <c r="AZ47" s="222">
        <f t="shared" si="16"/>
        <v>2.75</v>
      </c>
      <c r="BA47" s="217">
        <f t="shared" si="16"/>
        <v>26.59166666666667</v>
      </c>
      <c r="BB47" s="222">
        <f t="shared" si="16"/>
        <v>32.75</v>
      </c>
      <c r="BC47" s="217">
        <f t="shared" si="16"/>
        <v>17.75</v>
      </c>
      <c r="BD47" s="161">
        <f t="shared" si="16"/>
        <v>1347.8</v>
      </c>
      <c r="BE47" s="218">
        <f t="shared" si="16"/>
        <v>12.269</v>
      </c>
      <c r="BF47"/>
      <c r="BG47" s="132">
        <f>(IF((SUM(BG12:BG42))=0," ",(AVERAGE(BG12:BG42))))</f>
        <v>17.75</v>
      </c>
      <c r="BH47" s="180" t="s">
        <v>150</v>
      </c>
      <c r="BI47" s="181" t="s">
        <v>150</v>
      </c>
      <c r="BJ47"/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B48"/>
      <c r="C48" s="26"/>
      <c r="D48" s="234"/>
      <c r="E48" s="234"/>
      <c r="F48" s="234"/>
      <c r="G48" s="235"/>
      <c r="H48" s="185"/>
      <c r="I48" s="185"/>
      <c r="J48"/>
      <c r="K48" s="26"/>
      <c r="L48" s="185"/>
      <c r="M48" s="235"/>
      <c r="N48"/>
      <c r="O48" s="82"/>
      <c r="P48"/>
      <c r="Q48" s="80"/>
      <c r="R48" s="80"/>
      <c r="S48" s="80"/>
      <c r="T48"/>
      <c r="U48" s="82"/>
      <c r="V48" s="82"/>
      <c r="W48" s="82"/>
      <c r="X48"/>
      <c r="Y48" s="80"/>
      <c r="Z48" s="80"/>
      <c r="AA48" s="80"/>
      <c r="AB48"/>
      <c r="AC48" s="82"/>
      <c r="AD48" s="81"/>
      <c r="AE48" s="81"/>
      <c r="AF48"/>
      <c r="AG48" s="22"/>
      <c r="AH48"/>
      <c r="AI48" s="17"/>
      <c r="AJ48" s="17"/>
      <c r="AK48" s="17"/>
      <c r="AL48" s="17"/>
      <c r="AM48" s="17"/>
      <c r="AN48" s="17"/>
      <c r="AO48" s="17"/>
      <c r="AP48"/>
      <c r="AQ48" s="17"/>
      <c r="AR48" s="17"/>
      <c r="AS48" s="17"/>
      <c r="AT48" s="17"/>
      <c r="AU48" s="17"/>
      <c r="AV48" s="17" t="s">
        <v>2</v>
      </c>
      <c r="AW48"/>
      <c r="AX48" s="17"/>
      <c r="AY48" s="17"/>
      <c r="AZ48" s="17"/>
      <c r="BA48" s="17"/>
      <c r="BB48" s="17"/>
      <c r="BC48" s="17"/>
      <c r="BD48" s="17"/>
      <c r="BE48" s="17"/>
      <c r="BF48"/>
      <c r="BG48" s="17"/>
      <c r="BH48" s="17"/>
      <c r="BI48" s="17"/>
      <c r="BJ48"/>
      <c r="BK48" s="17"/>
      <c r="BL48" s="19"/>
      <c r="BM48" s="20" t="s">
        <v>202</v>
      </c>
      <c r="BN48" s="20"/>
      <c r="BO48" s="57" t="s">
        <v>130</v>
      </c>
      <c r="BP48" s="20"/>
      <c r="BQ48" s="262" t="s">
        <v>203</v>
      </c>
      <c r="BR48" s="238" t="s">
        <v>150</v>
      </c>
      <c r="BS48" s="262" t="s">
        <v>203</v>
      </c>
      <c r="BT48" s="104"/>
      <c r="BU48" s="238" t="s">
        <v>150</v>
      </c>
      <c r="BV48" s="143">
        <f>(S49)</f>
        <v>10.238502119531754</v>
      </c>
      <c r="BW48" s="143">
        <f>(S45)</f>
        <v>79</v>
      </c>
      <c r="BX48" s="238" t="s">
        <v>150</v>
      </c>
      <c r="BY48" s="104"/>
      <c r="BZ48" s="104">
        <v>0</v>
      </c>
      <c r="CA48" s="148" t="s">
        <v>205</v>
      </c>
      <c r="CB48" s="104" t="s">
        <v>23</v>
      </c>
      <c r="CC48" s="27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>
        <f>(IF(((SUM(S12:S42))=0),"-",(GEOMEAN(S12:S42))))</f>
        <v>10.238502119531754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95.14817733719605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91.91063174114021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6"/>
      <c r="BL49" s="291"/>
      <c r="BM49" s="104" t="s">
        <v>86</v>
      </c>
      <c r="BN49" s="240"/>
      <c r="BO49" s="292" t="s">
        <v>131</v>
      </c>
      <c r="BP49" s="240"/>
      <c r="BQ49" s="261" t="s">
        <v>203</v>
      </c>
      <c r="BR49" s="237" t="s">
        <v>150</v>
      </c>
      <c r="BS49" s="261" t="s">
        <v>203</v>
      </c>
      <c r="BT49" s="104"/>
      <c r="BU49" s="237" t="s">
        <v>150</v>
      </c>
      <c r="BV49" s="156">
        <v>142</v>
      </c>
      <c r="BW49" s="156">
        <v>949</v>
      </c>
      <c r="BX49" s="263" t="s">
        <v>204</v>
      </c>
      <c r="BY49" s="104"/>
      <c r="BZ49" s="237" t="s">
        <v>150</v>
      </c>
      <c r="CA49" s="160" t="s">
        <v>205</v>
      </c>
      <c r="CB49" s="155" t="s">
        <v>23</v>
      </c>
      <c r="CC49" s="293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90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6"/>
      <c r="BL50" s="294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6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90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302"/>
      <c r="BM52" s="303"/>
      <c r="BN52" s="303"/>
      <c r="BO52" s="303"/>
      <c r="BP52" s="303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5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11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91"/>
      <c r="BM53" s="240" t="s">
        <v>206</v>
      </c>
      <c r="BN53" s="240"/>
      <c r="BO53" s="297" t="s">
        <v>130</v>
      </c>
      <c r="BP53" s="240"/>
      <c r="BQ53" s="262" t="s">
        <v>203</v>
      </c>
      <c r="BR53" s="238" t="s">
        <v>150</v>
      </c>
      <c r="BS53" s="262" t="s">
        <v>203</v>
      </c>
      <c r="BT53" s="104"/>
      <c r="BU53" s="238" t="s">
        <v>150</v>
      </c>
      <c r="BV53" s="238" t="s">
        <v>150</v>
      </c>
      <c r="BW53" s="146">
        <f>(R45)</f>
        <v>0.39</v>
      </c>
      <c r="BX53" s="238" t="s">
        <v>150</v>
      </c>
      <c r="BY53" s="104"/>
      <c r="BZ53" s="104">
        <v>0</v>
      </c>
      <c r="CA53" s="148" t="s">
        <v>207</v>
      </c>
      <c r="CB53" s="104" t="s">
        <v>23</v>
      </c>
      <c r="CC53" s="293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11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91"/>
      <c r="BM54" s="104" t="s">
        <v>86</v>
      </c>
      <c r="BN54" s="240"/>
      <c r="BO54" s="292" t="s">
        <v>131</v>
      </c>
      <c r="BP54" s="240"/>
      <c r="BQ54" s="261" t="s">
        <v>203</v>
      </c>
      <c r="BR54" s="237" t="s">
        <v>150</v>
      </c>
      <c r="BS54" s="261" t="s">
        <v>203</v>
      </c>
      <c r="BT54" s="104"/>
      <c r="BU54" s="237" t="s">
        <v>150</v>
      </c>
      <c r="BV54" s="237" t="s">
        <v>150</v>
      </c>
      <c r="BW54" s="263">
        <v>0.86</v>
      </c>
      <c r="BX54" s="263" t="s">
        <v>44</v>
      </c>
      <c r="BY54" s="104"/>
      <c r="BZ54" s="237" t="s">
        <v>150</v>
      </c>
      <c r="CA54" s="157" t="s">
        <v>207</v>
      </c>
      <c r="CB54" s="155" t="s">
        <v>23</v>
      </c>
      <c r="CC54" s="293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11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94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6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11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11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11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11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11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55" r:id="rId1"/>
  <colBreaks count="2" manualBreakCount="2">
    <brk id="32" max="55" man="1"/>
    <brk id="62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197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August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August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0">
        <v>2948749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4">
        <v>2950866</v>
      </c>
      <c r="D12" s="137">
        <f aca="true" t="shared" si="0" ref="D12:D42">(IF(C12=0," ",((C12-C11)/1000)))</f>
        <v>2.117</v>
      </c>
      <c r="E12" s="139">
        <v>3.6</v>
      </c>
      <c r="F12" s="140">
        <v>0.6</v>
      </c>
      <c r="G12" s="81" t="str">
        <f aca="true" t="shared" si="1" ref="G12:G42">(IF(C12=0," ","0.00"))</f>
        <v>0.00</v>
      </c>
      <c r="H12" s="84">
        <v>0</v>
      </c>
      <c r="I12" s="85">
        <v>0</v>
      </c>
      <c r="J12" s="11"/>
      <c r="K12" s="86" t="s">
        <v>213</v>
      </c>
      <c r="L12" s="84">
        <v>70</v>
      </c>
      <c r="M12" s="87">
        <v>0.12</v>
      </c>
      <c r="N12" s="11"/>
      <c r="O12" s="88"/>
      <c r="P12" s="11"/>
      <c r="Q12" s="107">
        <v>18</v>
      </c>
      <c r="R12" s="152">
        <v>0.25</v>
      </c>
      <c r="S12" s="108"/>
      <c r="T12" s="11"/>
      <c r="U12" s="92">
        <v>7.16</v>
      </c>
      <c r="V12" s="93">
        <v>7.02</v>
      </c>
      <c r="W12" s="94">
        <v>6.42</v>
      </c>
      <c r="X12" s="11"/>
      <c r="Y12" s="89">
        <v>16.6</v>
      </c>
      <c r="Z12" s="95">
        <v>17.2</v>
      </c>
      <c r="AA12" s="91">
        <v>19</v>
      </c>
      <c r="AB12" s="11"/>
      <c r="AC12" s="92">
        <v>10</v>
      </c>
      <c r="AD12" s="90">
        <v>0.01</v>
      </c>
      <c r="AE12" s="96">
        <v>0</v>
      </c>
      <c r="AF12" s="11"/>
      <c r="AG12" s="45">
        <f aca="true" t="shared" si="2" ref="AG12:AG42">($A12)</f>
        <v>1</v>
      </c>
      <c r="AH12" s="282"/>
      <c r="AI12" s="97"/>
      <c r="AJ12" s="55">
        <f aca="true" t="shared" si="3" ref="AJ12:AJ42">IF(AI12=0,"",(D12*AI12*8.34))</f>
      </c>
      <c r="AK12" s="97"/>
      <c r="AL12" s="55">
        <f aca="true" t="shared" si="4" ref="AL12:AL42">IF(AK12=0,"",(D12*AK12*8.34))</f>
      </c>
      <c r="AM12" s="97"/>
      <c r="AN12" s="55">
        <f aca="true" t="shared" si="5" ref="AN12:AN42">IF(AM12=0,"",(D12*AM12*8.34))</f>
      </c>
      <c r="AO12" s="98"/>
      <c r="AP12" s="11"/>
      <c r="AQ12" s="99"/>
      <c r="AR12" s="55">
        <f aca="true" t="shared" si="6" ref="AR12:AR42">IF(AQ12=0,"",(D12*AQ12*8.34))</f>
      </c>
      <c r="AS12" s="97"/>
      <c r="AT12" s="55">
        <f aca="true" t="shared" si="7" ref="AT12:AT42">IF(AS12=0,"",(D12*AS12*8.34))</f>
      </c>
      <c r="AU12" s="97"/>
      <c r="AV12" s="55">
        <f aca="true" t="shared" si="8" ref="AV12:AV42">IF(AU12=0,"",(D12*AU12*8.34))</f>
      </c>
      <c r="AW12" s="11"/>
      <c r="AX12" s="99"/>
      <c r="AY12" s="100"/>
      <c r="AZ12" s="101"/>
      <c r="BA12" s="97"/>
      <c r="BB12" s="101"/>
      <c r="BC12" s="97"/>
      <c r="BD12" s="97"/>
      <c r="BE12" s="102"/>
      <c r="BF12" s="11"/>
      <c r="BG12" s="99"/>
      <c r="BH12" s="83"/>
      <c r="BI12" s="103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5">
        <f>(IF(((SUM(AN12:AN42))=0)," ",(AVERAGE(AN12:AN42))))</f>
        <v>249.698905</v>
      </c>
      <c r="BR12" s="185">
        <f>MAX(AN12:AN42)</f>
        <v>371.29679999999996</v>
      </c>
      <c r="BS12" s="26" t="s">
        <v>126</v>
      </c>
      <c r="BT12" s="26"/>
      <c r="BU12" s="185">
        <f>(IF(((SUM(AM12:AM42))=0)," ",(AVERAGE(AM12:AM42))))</f>
        <v>12.833333333333334</v>
      </c>
      <c r="BV12" s="58">
        <f>(CG23)</f>
        <v>15.666666666666666</v>
      </c>
      <c r="BW12" s="185">
        <f>MAX(AM12:AM42)</f>
        <v>20</v>
      </c>
      <c r="BX12" s="26" t="s">
        <v>128</v>
      </c>
      <c r="BY12" s="26"/>
      <c r="BZ12" s="26">
        <v>0</v>
      </c>
      <c r="CA12" s="266" t="s">
        <v>47</v>
      </c>
      <c r="CB12" s="26">
        <v>24</v>
      </c>
      <c r="CC12" s="136"/>
      <c r="CE12" s="24"/>
      <c r="CF12" s="20" t="s">
        <v>138</v>
      </c>
      <c r="CG12" s="105">
        <f>(IF(((SUM(AM15:AM17))=0)," ",(AVERAGE(AM15:AM17))))</f>
        <v>15.333333333333334</v>
      </c>
      <c r="CH12" s="105">
        <f>(IF(((SUM(AN15:AN17))=0)," ",(AVERAGE(AN15:AN17))))</f>
        <v>283.50996000000004</v>
      </c>
      <c r="CI12" s="279"/>
      <c r="CJ12" s="105">
        <f>(IF(((SUM(AU15:AU17))=0)," ",(AVERAGE(AU15:AU17))))</f>
        <v>25.666666666666668</v>
      </c>
      <c r="CK12" s="105">
        <f>(IF(((SUM(AV15:AV17))=0)," ",(AVERAGE(AV15:AV17))))</f>
        <v>474.44591999999994</v>
      </c>
      <c r="CL12" s="53"/>
      <c r="CM12" s="151">
        <f>(AVERAGE(AE12:AE18))</f>
        <v>0.0014285714285714286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4">
        <v>2953012</v>
      </c>
      <c r="D13" s="137">
        <f t="shared" si="0"/>
        <v>2.146</v>
      </c>
      <c r="E13" s="139">
        <v>3.8</v>
      </c>
      <c r="F13" s="140">
        <v>0.6</v>
      </c>
      <c r="G13" s="81" t="str">
        <f t="shared" si="1"/>
        <v>0.00</v>
      </c>
      <c r="H13" s="84">
        <v>7200</v>
      </c>
      <c r="I13" s="85">
        <v>5000</v>
      </c>
      <c r="J13" s="11"/>
      <c r="K13" s="86" t="s">
        <v>209</v>
      </c>
      <c r="L13" s="84">
        <v>67</v>
      </c>
      <c r="M13" s="87">
        <v>0</v>
      </c>
      <c r="N13" s="11"/>
      <c r="O13" s="106"/>
      <c r="P13" s="11"/>
      <c r="Q13" s="107">
        <v>16</v>
      </c>
      <c r="R13" s="152">
        <v>0.22</v>
      </c>
      <c r="S13" s="108">
        <v>6</v>
      </c>
      <c r="T13" s="11"/>
      <c r="U13" s="92">
        <v>7.04</v>
      </c>
      <c r="V13" s="93">
        <v>6.91</v>
      </c>
      <c r="W13" s="94">
        <v>6.58</v>
      </c>
      <c r="X13" s="11"/>
      <c r="Y13" s="89">
        <v>17.3</v>
      </c>
      <c r="Z13" s="95">
        <v>17.7</v>
      </c>
      <c r="AA13" s="91">
        <v>18.8</v>
      </c>
      <c r="AB13" s="11"/>
      <c r="AC13" s="92">
        <v>5</v>
      </c>
      <c r="AD13" s="90">
        <v>0.01</v>
      </c>
      <c r="AE13" s="96">
        <v>0</v>
      </c>
      <c r="AF13" s="11"/>
      <c r="AG13" s="45">
        <f t="shared" si="2"/>
        <v>2</v>
      </c>
      <c r="AH13" s="282"/>
      <c r="AI13" s="97"/>
      <c r="AJ13" s="55">
        <f t="shared" si="3"/>
      </c>
      <c r="AK13" s="97"/>
      <c r="AL13" s="55">
        <f t="shared" si="4"/>
      </c>
      <c r="AM13" s="97"/>
      <c r="AN13" s="55">
        <f t="shared" si="5"/>
      </c>
      <c r="AO13" s="109"/>
      <c r="AP13" s="11"/>
      <c r="AQ13" s="99"/>
      <c r="AR13" s="55">
        <f t="shared" si="6"/>
      </c>
      <c r="AS13" s="97"/>
      <c r="AT13" s="55">
        <f t="shared" si="7"/>
      </c>
      <c r="AU13" s="97"/>
      <c r="AV13" s="55">
        <f t="shared" si="8"/>
      </c>
      <c r="AW13" s="11"/>
      <c r="AX13" s="99">
        <v>69444</v>
      </c>
      <c r="AY13" s="100">
        <v>4</v>
      </c>
      <c r="AZ13" s="101">
        <v>4</v>
      </c>
      <c r="BA13" s="97">
        <v>49.6</v>
      </c>
      <c r="BB13" s="101">
        <v>35</v>
      </c>
      <c r="BC13" s="97">
        <v>36</v>
      </c>
      <c r="BD13" s="97">
        <v>2040</v>
      </c>
      <c r="BE13" s="102">
        <v>12.32</v>
      </c>
      <c r="BF13" s="11"/>
      <c r="BG13" s="99">
        <v>36</v>
      </c>
      <c r="BH13" s="83" t="s">
        <v>223</v>
      </c>
      <c r="BI13" s="103" t="s">
        <v>224</v>
      </c>
      <c r="BJ13" s="11"/>
      <c r="BK13" s="17"/>
      <c r="BL13" s="19"/>
      <c r="BM13" s="26" t="s">
        <v>86</v>
      </c>
      <c r="BN13" s="20"/>
      <c r="BO13" s="153" t="s">
        <v>131</v>
      </c>
      <c r="BP13" s="26"/>
      <c r="BQ13" s="267">
        <v>963</v>
      </c>
      <c r="BR13" s="267">
        <v>1605</v>
      </c>
      <c r="BS13" s="154" t="s">
        <v>126</v>
      </c>
      <c r="BT13" s="26"/>
      <c r="BU13" s="267">
        <v>30</v>
      </c>
      <c r="BV13" s="268">
        <v>45</v>
      </c>
      <c r="BW13" s="267">
        <v>50</v>
      </c>
      <c r="BX13" s="154" t="s">
        <v>128</v>
      </c>
      <c r="BY13" s="26"/>
      <c r="BZ13" s="269" t="s">
        <v>150</v>
      </c>
      <c r="CA13" s="270" t="s">
        <v>47</v>
      </c>
      <c r="CB13" s="154">
        <v>24</v>
      </c>
      <c r="CC13" s="136"/>
      <c r="CE13" s="24"/>
      <c r="CF13" s="20"/>
      <c r="CG13" s="279"/>
      <c r="CH13" s="279"/>
      <c r="CI13" s="279"/>
      <c r="CJ13" s="279"/>
      <c r="CK13" s="279"/>
      <c r="CL13" s="53"/>
      <c r="CM13" s="280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4">
        <v>2955254</v>
      </c>
      <c r="D14" s="137">
        <f t="shared" si="0"/>
        <v>2.242</v>
      </c>
      <c r="E14" s="139">
        <v>3.6</v>
      </c>
      <c r="F14" s="140">
        <v>0.6</v>
      </c>
      <c r="G14" s="81" t="str">
        <f t="shared" si="1"/>
        <v>0.00</v>
      </c>
      <c r="H14" s="84">
        <v>4200</v>
      </c>
      <c r="I14" s="85">
        <v>4250</v>
      </c>
      <c r="K14" s="86" t="s">
        <v>209</v>
      </c>
      <c r="L14" s="84">
        <v>71</v>
      </c>
      <c r="M14" s="87">
        <v>0.19</v>
      </c>
      <c r="O14" s="106"/>
      <c r="Q14" s="107">
        <v>18</v>
      </c>
      <c r="R14" s="152">
        <v>0.23</v>
      </c>
      <c r="S14" s="108">
        <v>22</v>
      </c>
      <c r="U14" s="92">
        <v>7.09</v>
      </c>
      <c r="V14" s="93">
        <v>6.95</v>
      </c>
      <c r="W14" s="94">
        <v>6.8</v>
      </c>
      <c r="Y14" s="89">
        <v>17.8</v>
      </c>
      <c r="Z14" s="95">
        <v>17.7</v>
      </c>
      <c r="AA14" s="91">
        <v>18.8</v>
      </c>
      <c r="AC14" s="92">
        <v>6.5</v>
      </c>
      <c r="AD14" s="90">
        <v>0.01</v>
      </c>
      <c r="AE14" s="96">
        <v>0</v>
      </c>
      <c r="AG14" s="45">
        <f t="shared" si="2"/>
        <v>3</v>
      </c>
      <c r="AH14" s="281"/>
      <c r="AI14" s="97"/>
      <c r="AJ14" s="55">
        <f t="shared" si="3"/>
      </c>
      <c r="AK14" s="97"/>
      <c r="AL14" s="55">
        <f t="shared" si="4"/>
      </c>
      <c r="AM14" s="97"/>
      <c r="AN14" s="55">
        <f t="shared" si="5"/>
      </c>
      <c r="AO14" s="109"/>
      <c r="AQ14" s="99"/>
      <c r="AR14" s="55">
        <f t="shared" si="6"/>
      </c>
      <c r="AS14" s="97"/>
      <c r="AT14" s="55">
        <f t="shared" si="7"/>
      </c>
      <c r="AU14" s="97"/>
      <c r="AV14" s="55">
        <f t="shared" si="8"/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(IF(((SUM(AM22:AM24))=0)," ",(AVERAGE(AM22:AM24))))</f>
        <v>15.666666666666666</v>
      </c>
      <c r="CH14" s="105">
        <f>(IF(((SUM(AN22:AN24))=0)," ",(AVERAGE(AN22:AN24))))</f>
        <v>297.28486</v>
      </c>
      <c r="CI14" s="279"/>
      <c r="CJ14" s="105">
        <f>(IF(((SUM(AU22:AU24))=0)," ",(AVERAGE(AU22:AU24))))</f>
        <v>24.333333333333332</v>
      </c>
      <c r="CK14" s="105">
        <f>(IF(((SUM(AV22:AV24))=0)," ",(AVERAGE(AV22:AV24))))</f>
        <v>462.6893</v>
      </c>
      <c r="CL14" s="53"/>
      <c r="CM14" s="151">
        <f>(AVERAGE(AE19:AE25))</f>
        <v>0.002857142857142857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4">
        <v>2957480</v>
      </c>
      <c r="D15" s="137">
        <f t="shared" si="0"/>
        <v>2.226</v>
      </c>
      <c r="E15" s="139">
        <v>3.8</v>
      </c>
      <c r="F15" s="140">
        <v>0.6</v>
      </c>
      <c r="G15" s="81" t="str">
        <f t="shared" si="1"/>
        <v>0.00</v>
      </c>
      <c r="H15" s="84">
        <v>7300</v>
      </c>
      <c r="I15" s="85">
        <v>11000</v>
      </c>
      <c r="K15" s="86" t="s">
        <v>209</v>
      </c>
      <c r="L15" s="84">
        <v>74</v>
      </c>
      <c r="M15" s="87">
        <v>0</v>
      </c>
      <c r="O15" s="106"/>
      <c r="Q15" s="107">
        <v>20</v>
      </c>
      <c r="R15" s="152">
        <v>0.2</v>
      </c>
      <c r="S15" s="108">
        <v>316</v>
      </c>
      <c r="U15" s="92">
        <v>7.18</v>
      </c>
      <c r="V15" s="93">
        <v>6.93</v>
      </c>
      <c r="W15" s="94">
        <v>6.66</v>
      </c>
      <c r="Y15" s="89">
        <v>17</v>
      </c>
      <c r="Z15" s="95">
        <v>17.7</v>
      </c>
      <c r="AA15" s="91">
        <v>19.2</v>
      </c>
      <c r="AC15" s="92">
        <v>10</v>
      </c>
      <c r="AD15" s="90">
        <v>0.1</v>
      </c>
      <c r="AE15" s="96">
        <v>0.01</v>
      </c>
      <c r="AG15" s="45">
        <f t="shared" si="2"/>
        <v>4</v>
      </c>
      <c r="AH15" s="281"/>
      <c r="AI15" s="97">
        <v>285</v>
      </c>
      <c r="AJ15" s="55">
        <f t="shared" si="3"/>
        <v>5290.979399999999</v>
      </c>
      <c r="AK15" s="97"/>
      <c r="AL15" s="55">
        <f t="shared" si="4"/>
      </c>
      <c r="AM15" s="97">
        <v>20</v>
      </c>
      <c r="AN15" s="55">
        <f t="shared" si="5"/>
        <v>371.29679999999996</v>
      </c>
      <c r="AO15" s="109">
        <v>16</v>
      </c>
      <c r="AQ15" s="99">
        <v>258</v>
      </c>
      <c r="AR15" s="55">
        <f t="shared" si="6"/>
        <v>4789.72872</v>
      </c>
      <c r="AS15" s="97"/>
      <c r="AT15" s="55">
        <f t="shared" si="7"/>
      </c>
      <c r="AU15" s="97">
        <v>30</v>
      </c>
      <c r="AV15" s="55">
        <f t="shared" si="8"/>
        <v>556.9452</v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279"/>
      <c r="CH15" s="279"/>
      <c r="CI15" s="279"/>
      <c r="CJ15" s="279"/>
      <c r="CK15" s="279"/>
      <c r="CL15" s="53"/>
      <c r="CM15" s="280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2">
        <v>2959682</v>
      </c>
      <c r="D16" s="138">
        <f t="shared" si="0"/>
        <v>2.202</v>
      </c>
      <c r="E16" s="141">
        <v>3.8</v>
      </c>
      <c r="F16" s="142">
        <v>0.6</v>
      </c>
      <c r="G16" s="183" t="str">
        <f t="shared" si="1"/>
        <v>0.00</v>
      </c>
      <c r="H16" s="112">
        <v>2900</v>
      </c>
      <c r="I16" s="113">
        <v>9500</v>
      </c>
      <c r="K16" s="114" t="s">
        <v>209</v>
      </c>
      <c r="L16" s="112">
        <v>56</v>
      </c>
      <c r="M16" s="115">
        <v>0</v>
      </c>
      <c r="O16" s="116"/>
      <c r="Q16" s="258">
        <v>17</v>
      </c>
      <c r="R16" s="259">
        <v>0.3</v>
      </c>
      <c r="S16" s="264"/>
      <c r="U16" s="117">
        <v>6.87</v>
      </c>
      <c r="V16" s="118">
        <v>6.8</v>
      </c>
      <c r="W16" s="119">
        <v>6.43</v>
      </c>
      <c r="Y16" s="120">
        <v>17.8</v>
      </c>
      <c r="Z16" s="121">
        <v>17.7</v>
      </c>
      <c r="AA16" s="122">
        <v>18.7</v>
      </c>
      <c r="AC16" s="117">
        <v>4</v>
      </c>
      <c r="AD16" s="123">
        <v>0.1</v>
      </c>
      <c r="AE16" s="124">
        <v>0</v>
      </c>
      <c r="AG16" s="45">
        <f t="shared" si="2"/>
        <v>5</v>
      </c>
      <c r="AH16" s="281"/>
      <c r="AI16" s="125">
        <v>287</v>
      </c>
      <c r="AJ16" s="65">
        <f t="shared" si="3"/>
        <v>5270.663159999999</v>
      </c>
      <c r="AK16" s="125"/>
      <c r="AL16" s="65">
        <f t="shared" si="4"/>
      </c>
      <c r="AM16" s="125">
        <v>12</v>
      </c>
      <c r="AN16" s="65">
        <f t="shared" si="5"/>
        <v>220.37616</v>
      </c>
      <c r="AO16" s="126">
        <v>8</v>
      </c>
      <c r="AQ16" s="127">
        <v>272</v>
      </c>
      <c r="AR16" s="65">
        <f t="shared" si="6"/>
        <v>4995.192959999999</v>
      </c>
      <c r="AS16" s="125"/>
      <c r="AT16" s="65">
        <f t="shared" si="7"/>
      </c>
      <c r="AU16" s="125">
        <v>21</v>
      </c>
      <c r="AV16" s="65">
        <f t="shared" si="8"/>
        <v>385.65828</v>
      </c>
      <c r="AX16" s="127">
        <v>48869</v>
      </c>
      <c r="AY16" s="128">
        <v>3</v>
      </c>
      <c r="AZ16" s="129">
        <v>3.25</v>
      </c>
      <c r="BA16" s="125">
        <v>34.1</v>
      </c>
      <c r="BB16" s="129">
        <v>32</v>
      </c>
      <c r="BC16" s="125">
        <v>24</v>
      </c>
      <c r="BD16" s="125">
        <v>1463</v>
      </c>
      <c r="BE16" s="130">
        <v>12.23</v>
      </c>
      <c r="BG16" s="127">
        <v>24</v>
      </c>
      <c r="BH16" s="110" t="s">
        <v>223</v>
      </c>
      <c r="BI16" s="131" t="s">
        <v>224</v>
      </c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(IF(((SUM(AM29:AM31))=0)," ",(AVERAGE(AM29:AM31))))</f>
        <v>10.666666666666666</v>
      </c>
      <c r="CH16" s="105">
        <f>(IF(((SUM(AN29:AN31))=0)," ",(AVERAGE(AN29:AN31))))</f>
        <v>207.24900000000002</v>
      </c>
      <c r="CI16" s="279"/>
      <c r="CJ16" s="105">
        <f>(IF(((SUM(AU29:AU31))=0)," ",(AVERAGE(AU29:AU31))))</f>
        <v>19</v>
      </c>
      <c r="CK16" s="105">
        <f>(IF(((SUM(AV29:AV31))=0)," ",(AVERAGE(AV29:AV31))))</f>
        <v>368.75865999999996</v>
      </c>
      <c r="CL16" s="53"/>
      <c r="CM16" s="151">
        <f>(AVERAGE(AE26:AE32))</f>
        <v>0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4">
        <v>2961899</v>
      </c>
      <c r="D17" s="137">
        <f t="shared" si="0"/>
        <v>2.217</v>
      </c>
      <c r="E17" s="139">
        <v>4.2</v>
      </c>
      <c r="F17" s="140">
        <v>0.6</v>
      </c>
      <c r="G17" s="81" t="str">
        <f t="shared" si="1"/>
        <v>0.00</v>
      </c>
      <c r="H17" s="84">
        <v>1300</v>
      </c>
      <c r="I17" s="85">
        <v>3000</v>
      </c>
      <c r="K17" s="86" t="s">
        <v>209</v>
      </c>
      <c r="L17" s="84">
        <v>58</v>
      </c>
      <c r="M17" s="87">
        <v>0</v>
      </c>
      <c r="O17" s="106"/>
      <c r="Q17" s="107">
        <v>17</v>
      </c>
      <c r="R17" s="152">
        <v>0.28</v>
      </c>
      <c r="S17" s="108"/>
      <c r="U17" s="92">
        <v>7.12</v>
      </c>
      <c r="V17" s="93">
        <v>6.93</v>
      </c>
      <c r="W17" s="94">
        <v>6.66</v>
      </c>
      <c r="Y17" s="89">
        <v>16.5</v>
      </c>
      <c r="Z17" s="95">
        <v>17.2</v>
      </c>
      <c r="AA17" s="91">
        <v>18.3</v>
      </c>
      <c r="AC17" s="92">
        <v>8</v>
      </c>
      <c r="AD17" s="90">
        <v>0.1</v>
      </c>
      <c r="AE17" s="96">
        <v>0</v>
      </c>
      <c r="AG17" s="45">
        <f t="shared" si="2"/>
        <v>6</v>
      </c>
      <c r="AH17" s="281"/>
      <c r="AI17" s="97">
        <v>333</v>
      </c>
      <c r="AJ17" s="55">
        <f t="shared" si="3"/>
        <v>6157.096740000001</v>
      </c>
      <c r="AK17" s="97">
        <v>204</v>
      </c>
      <c r="AL17" s="55">
        <f t="shared" si="4"/>
        <v>3771.91512</v>
      </c>
      <c r="AM17" s="97">
        <v>14</v>
      </c>
      <c r="AN17" s="55">
        <f t="shared" si="5"/>
        <v>258.85692</v>
      </c>
      <c r="AO17" s="109">
        <v>11</v>
      </c>
      <c r="AQ17" s="99">
        <v>346</v>
      </c>
      <c r="AR17" s="55">
        <f t="shared" si="6"/>
        <v>6397.46388</v>
      </c>
      <c r="AS17" s="97">
        <v>96</v>
      </c>
      <c r="AT17" s="55">
        <f t="shared" si="7"/>
        <v>1775.0188799999999</v>
      </c>
      <c r="AU17" s="97">
        <v>26</v>
      </c>
      <c r="AV17" s="55">
        <f t="shared" si="8"/>
        <v>480.73428</v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71" t="s">
        <v>150</v>
      </c>
      <c r="BR17" s="271" t="s">
        <v>150</v>
      </c>
      <c r="BS17" s="271" t="s">
        <v>150</v>
      </c>
      <c r="BT17" s="26"/>
      <c r="BU17" s="68">
        <f>MIN(W12:W42)</f>
        <v>6.35</v>
      </c>
      <c r="BV17" s="271" t="s">
        <v>150</v>
      </c>
      <c r="BW17" s="68">
        <f>MAX(W12:W42)</f>
        <v>6.8</v>
      </c>
      <c r="BX17" s="26" t="s">
        <v>43</v>
      </c>
      <c r="BY17" s="26"/>
      <c r="BZ17" s="26">
        <v>0</v>
      </c>
      <c r="CA17" s="266" t="s">
        <v>48</v>
      </c>
      <c r="CB17" s="26" t="s">
        <v>23</v>
      </c>
      <c r="CC17" s="136"/>
      <c r="CE17" s="69"/>
      <c r="CF17" s="20"/>
      <c r="CG17" s="279"/>
      <c r="CH17" s="279"/>
      <c r="CI17" s="279"/>
      <c r="CJ17" s="279"/>
      <c r="CK17" s="279"/>
      <c r="CL17" s="20"/>
      <c r="CM17" s="280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4">
        <v>2964087</v>
      </c>
      <c r="D18" s="137">
        <f t="shared" si="0"/>
        <v>2.188</v>
      </c>
      <c r="E18" s="139">
        <v>3.8</v>
      </c>
      <c r="F18" s="140">
        <v>0.6</v>
      </c>
      <c r="G18" s="81" t="str">
        <f t="shared" si="1"/>
        <v>0.00</v>
      </c>
      <c r="H18" s="84">
        <v>2000</v>
      </c>
      <c r="I18" s="85">
        <v>3000</v>
      </c>
      <c r="K18" s="86" t="s">
        <v>208</v>
      </c>
      <c r="L18" s="84">
        <v>61</v>
      </c>
      <c r="M18" s="87">
        <v>0</v>
      </c>
      <c r="O18" s="106"/>
      <c r="Q18" s="107">
        <v>17</v>
      </c>
      <c r="R18" s="152">
        <v>0.26</v>
      </c>
      <c r="S18" s="108"/>
      <c r="U18" s="92">
        <v>7.05</v>
      </c>
      <c r="V18" s="93">
        <v>6.89</v>
      </c>
      <c r="W18" s="94">
        <v>6.52</v>
      </c>
      <c r="Y18" s="89">
        <v>17.3</v>
      </c>
      <c r="Z18" s="95">
        <v>17.2</v>
      </c>
      <c r="AA18" s="91">
        <v>18.6</v>
      </c>
      <c r="AC18" s="92">
        <v>5</v>
      </c>
      <c r="AD18" s="90">
        <v>0</v>
      </c>
      <c r="AE18" s="96">
        <v>0</v>
      </c>
      <c r="AG18" s="45">
        <f t="shared" si="2"/>
        <v>7</v>
      </c>
      <c r="AH18" s="281"/>
      <c r="AI18" s="97"/>
      <c r="AJ18" s="55">
        <f t="shared" si="3"/>
      </c>
      <c r="AK18" s="97"/>
      <c r="AL18" s="55">
        <f t="shared" si="4"/>
      </c>
      <c r="AM18" s="97"/>
      <c r="AN18" s="55">
        <f t="shared" si="5"/>
      </c>
      <c r="AO18" s="109"/>
      <c r="AQ18" s="99"/>
      <c r="AR18" s="55">
        <f t="shared" si="6"/>
      </c>
      <c r="AS18" s="97"/>
      <c r="AT18" s="55">
        <f t="shared" si="7"/>
      </c>
      <c r="AU18" s="97"/>
      <c r="AV18" s="55">
        <f t="shared" si="8"/>
      </c>
      <c r="AX18" s="99"/>
      <c r="AY18" s="100"/>
      <c r="AZ18" s="101"/>
      <c r="BA18" s="97"/>
      <c r="BB18" s="101"/>
      <c r="BC18" s="97"/>
      <c r="BD18" s="97"/>
      <c r="BE18" s="102"/>
      <c r="BG18" s="99"/>
      <c r="BH18" s="83"/>
      <c r="BI18" s="103"/>
      <c r="BK18" s="17"/>
      <c r="BL18" s="19"/>
      <c r="BM18" s="26" t="s">
        <v>86</v>
      </c>
      <c r="BN18" s="20"/>
      <c r="BO18" s="153" t="s">
        <v>131</v>
      </c>
      <c r="BP18" s="26"/>
      <c r="BQ18" s="269" t="s">
        <v>150</v>
      </c>
      <c r="BR18" s="269" t="s">
        <v>150</v>
      </c>
      <c r="BS18" s="269" t="s">
        <v>150</v>
      </c>
      <c r="BT18" s="26"/>
      <c r="BU18" s="272">
        <v>6</v>
      </c>
      <c r="BV18" s="269" t="s">
        <v>150</v>
      </c>
      <c r="BW18" s="154">
        <v>8.5</v>
      </c>
      <c r="BX18" s="154" t="s">
        <v>43</v>
      </c>
      <c r="BY18" s="26"/>
      <c r="BZ18" s="269" t="s">
        <v>150</v>
      </c>
      <c r="CA18" s="270" t="s">
        <v>48</v>
      </c>
      <c r="CB18" s="154" t="s">
        <v>23</v>
      </c>
      <c r="CC18" s="136"/>
      <c r="CE18" s="69"/>
      <c r="CF18" s="20" t="s">
        <v>141</v>
      </c>
      <c r="CG18" s="105">
        <f>(IF(((SUM(AM36:AM38))=0)," ",(AVERAGE(AM36:AM38))))</f>
        <v>9.666666666666666</v>
      </c>
      <c r="CH18" s="105">
        <f>(IF(((SUM(AN36:AN38))=0)," ",(AVERAGE(AN36:AN38))))</f>
        <v>210.7518</v>
      </c>
      <c r="CI18" s="279"/>
      <c r="CJ18" s="105">
        <f>(IF(((SUM(AU36:AU38))=0)," ",(AVERAGE(AU36:AU38))))</f>
        <v>16</v>
      </c>
      <c r="CK18" s="105">
        <f>(IF(((SUM(AV36:AV38))=0)," ",(AVERAGE(AV36:AV38))))</f>
        <v>349.10684</v>
      </c>
      <c r="CL18" s="20"/>
      <c r="CM18" s="151">
        <f>(AVERAGE(AE33:AE39))</f>
        <v>0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4">
        <v>2966093</v>
      </c>
      <c r="D19" s="137">
        <f t="shared" si="0"/>
        <v>2.006</v>
      </c>
      <c r="E19" s="139">
        <v>3.6</v>
      </c>
      <c r="F19" s="140">
        <v>0.6</v>
      </c>
      <c r="G19" s="81" t="str">
        <f t="shared" si="1"/>
        <v>0.00</v>
      </c>
      <c r="H19" s="84">
        <v>0</v>
      </c>
      <c r="I19" s="85">
        <v>500</v>
      </c>
      <c r="K19" s="86" t="s">
        <v>208</v>
      </c>
      <c r="L19" s="84">
        <v>60</v>
      </c>
      <c r="M19" s="87">
        <v>0.14</v>
      </c>
      <c r="O19" s="106"/>
      <c r="Q19" s="107">
        <v>15</v>
      </c>
      <c r="R19" s="152">
        <v>0.29</v>
      </c>
      <c r="S19" s="108"/>
      <c r="U19" s="92">
        <v>6.84</v>
      </c>
      <c r="V19" s="93">
        <v>6.84</v>
      </c>
      <c r="W19" s="94">
        <v>6.46</v>
      </c>
      <c r="Y19" s="89">
        <v>17.5</v>
      </c>
      <c r="Z19" s="95">
        <v>17.2</v>
      </c>
      <c r="AA19" s="91">
        <v>18.3</v>
      </c>
      <c r="AC19" s="92">
        <v>21</v>
      </c>
      <c r="AD19" s="90">
        <v>0.01</v>
      </c>
      <c r="AE19" s="96">
        <v>0</v>
      </c>
      <c r="AG19" s="45">
        <f t="shared" si="2"/>
        <v>8</v>
      </c>
      <c r="AH19" s="281"/>
      <c r="AI19" s="97"/>
      <c r="AJ19" s="55">
        <f t="shared" si="3"/>
      </c>
      <c r="AK19" s="97"/>
      <c r="AL19" s="55">
        <f t="shared" si="4"/>
      </c>
      <c r="AM19" s="97"/>
      <c r="AN19" s="55">
        <f t="shared" si="5"/>
      </c>
      <c r="AO19" s="109"/>
      <c r="AQ19" s="99"/>
      <c r="AR19" s="55">
        <f t="shared" si="6"/>
      </c>
      <c r="AS19" s="97"/>
      <c r="AT19" s="55">
        <f t="shared" si="7"/>
      </c>
      <c r="AU19" s="97"/>
      <c r="AV19" s="55">
        <f t="shared" si="8"/>
      </c>
      <c r="AX19" s="99"/>
      <c r="AY19" s="100"/>
      <c r="AZ19" s="101"/>
      <c r="BA19" s="97"/>
      <c r="BB19" s="101"/>
      <c r="BC19" s="97"/>
      <c r="BD19" s="97"/>
      <c r="BE19" s="102"/>
      <c r="BG19" s="99"/>
      <c r="BH19" s="83"/>
      <c r="BI19" s="103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79"/>
      <c r="CH19" s="279"/>
      <c r="CI19" s="279"/>
      <c r="CJ19" s="279"/>
      <c r="CK19" s="279"/>
      <c r="CL19" s="20"/>
      <c r="CM19" s="280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4">
        <v>2968123</v>
      </c>
      <c r="D20" s="137">
        <f t="shared" si="0"/>
        <v>2.03</v>
      </c>
      <c r="E20" s="139">
        <v>3.8</v>
      </c>
      <c r="F20" s="140">
        <v>0.6</v>
      </c>
      <c r="G20" s="81" t="str">
        <f t="shared" si="1"/>
        <v>0.00</v>
      </c>
      <c r="H20" s="84">
        <v>8400</v>
      </c>
      <c r="I20" s="85">
        <v>10000</v>
      </c>
      <c r="K20" s="86" t="s">
        <v>209</v>
      </c>
      <c r="L20" s="84">
        <v>67</v>
      </c>
      <c r="M20" s="87">
        <v>0.01</v>
      </c>
      <c r="O20" s="106"/>
      <c r="Q20" s="107">
        <v>14</v>
      </c>
      <c r="R20" s="152">
        <v>0.21</v>
      </c>
      <c r="S20" s="108">
        <v>5</v>
      </c>
      <c r="U20" s="92">
        <v>6.87</v>
      </c>
      <c r="V20" s="93">
        <v>6.81</v>
      </c>
      <c r="W20" s="94">
        <v>6.5</v>
      </c>
      <c r="Y20" s="89">
        <v>17.2</v>
      </c>
      <c r="Z20" s="95">
        <v>17.1</v>
      </c>
      <c r="AA20" s="91">
        <v>18</v>
      </c>
      <c r="AC20" s="92">
        <v>5.5</v>
      </c>
      <c r="AD20" s="90">
        <v>0.01</v>
      </c>
      <c r="AE20" s="96">
        <v>0</v>
      </c>
      <c r="AG20" s="45">
        <f t="shared" si="2"/>
        <v>9</v>
      </c>
      <c r="AH20" s="281" t="s">
        <v>218</v>
      </c>
      <c r="AI20" s="97"/>
      <c r="AJ20" s="55">
        <f t="shared" si="3"/>
      </c>
      <c r="AK20" s="97"/>
      <c r="AL20" s="55">
        <f t="shared" si="4"/>
      </c>
      <c r="AM20" s="97"/>
      <c r="AN20" s="55">
        <f t="shared" si="5"/>
      </c>
      <c r="AO20" s="109"/>
      <c r="AQ20" s="99"/>
      <c r="AR20" s="55">
        <f t="shared" si="6"/>
      </c>
      <c r="AS20" s="97"/>
      <c r="AT20" s="55">
        <f t="shared" si="7"/>
      </c>
      <c r="AU20" s="97"/>
      <c r="AV20" s="55">
        <f t="shared" si="8"/>
      </c>
      <c r="AX20" s="99">
        <v>58031</v>
      </c>
      <c r="AY20" s="100">
        <v>3</v>
      </c>
      <c r="AZ20" s="101">
        <v>4</v>
      </c>
      <c r="BA20" s="97">
        <v>40.3</v>
      </c>
      <c r="BB20" s="101">
        <v>30</v>
      </c>
      <c r="BC20" s="97">
        <v>24</v>
      </c>
      <c r="BD20" s="97">
        <v>1800</v>
      </c>
      <c r="BE20" s="102"/>
      <c r="BG20" s="99"/>
      <c r="BH20" s="83"/>
      <c r="BI20" s="103"/>
      <c r="CE20" s="69"/>
      <c r="CF20" s="20" t="s">
        <v>142</v>
      </c>
      <c r="CG20" s="281"/>
      <c r="CH20" s="281"/>
      <c r="CI20" s="279"/>
      <c r="CJ20" s="281"/>
      <c r="CK20" s="281"/>
      <c r="CL20" s="20"/>
      <c r="CM20" s="151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2">
        <v>2970246</v>
      </c>
      <c r="D21" s="138">
        <f t="shared" si="0"/>
        <v>2.123</v>
      </c>
      <c r="E21" s="141">
        <v>3.5</v>
      </c>
      <c r="F21" s="142">
        <v>0.6</v>
      </c>
      <c r="G21" s="183" t="str">
        <f t="shared" si="1"/>
        <v>0.00</v>
      </c>
      <c r="H21" s="112">
        <v>2100</v>
      </c>
      <c r="I21" s="113">
        <v>8000</v>
      </c>
      <c r="K21" s="114" t="s">
        <v>208</v>
      </c>
      <c r="L21" s="112">
        <v>67</v>
      </c>
      <c r="M21" s="115">
        <v>0</v>
      </c>
      <c r="O21" s="116"/>
      <c r="Q21" s="258">
        <v>17</v>
      </c>
      <c r="R21" s="259">
        <v>0.22</v>
      </c>
      <c r="S21" s="264">
        <v>484</v>
      </c>
      <c r="U21" s="117">
        <v>7</v>
      </c>
      <c r="V21" s="118">
        <v>6.87</v>
      </c>
      <c r="W21" s="119">
        <v>6.74</v>
      </c>
      <c r="Y21" s="120">
        <v>17.7</v>
      </c>
      <c r="Z21" s="121">
        <v>17.4</v>
      </c>
      <c r="AA21" s="122">
        <v>18.5</v>
      </c>
      <c r="AC21" s="117">
        <v>7.5</v>
      </c>
      <c r="AD21" s="123">
        <v>0.01</v>
      </c>
      <c r="AE21" s="124">
        <v>0</v>
      </c>
      <c r="AG21" s="45">
        <f t="shared" si="2"/>
        <v>10</v>
      </c>
      <c r="AH21" s="281"/>
      <c r="AI21" s="125"/>
      <c r="AJ21" s="65">
        <f t="shared" si="3"/>
      </c>
      <c r="AK21" s="125"/>
      <c r="AL21" s="65">
        <f t="shared" si="4"/>
      </c>
      <c r="AM21" s="125"/>
      <c r="AN21" s="65">
        <f t="shared" si="5"/>
      </c>
      <c r="AO21" s="126"/>
      <c r="AQ21" s="127"/>
      <c r="AR21" s="65">
        <f t="shared" si="6"/>
      </c>
      <c r="AS21" s="125"/>
      <c r="AT21" s="65">
        <f t="shared" si="7"/>
      </c>
      <c r="AU21" s="125"/>
      <c r="AV21" s="65">
        <f t="shared" si="8"/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4">
        <v>2972305</v>
      </c>
      <c r="D22" s="137">
        <f t="shared" si="0"/>
        <v>2.059</v>
      </c>
      <c r="E22" s="139">
        <v>3.4</v>
      </c>
      <c r="F22" s="140">
        <v>0.6</v>
      </c>
      <c r="G22" s="81" t="str">
        <f t="shared" si="1"/>
        <v>0.00</v>
      </c>
      <c r="H22" s="84">
        <v>5050</v>
      </c>
      <c r="I22" s="85">
        <v>7250</v>
      </c>
      <c r="K22" s="86" t="s">
        <v>208</v>
      </c>
      <c r="L22" s="84">
        <v>67</v>
      </c>
      <c r="M22" s="87">
        <v>0.15</v>
      </c>
      <c r="O22" s="106"/>
      <c r="Q22" s="107">
        <v>19</v>
      </c>
      <c r="R22" s="152">
        <v>0.19</v>
      </c>
      <c r="S22" s="108">
        <v>386</v>
      </c>
      <c r="U22" s="92">
        <v>7.07</v>
      </c>
      <c r="V22" s="93">
        <v>6.91</v>
      </c>
      <c r="W22" s="94">
        <v>6.51</v>
      </c>
      <c r="Y22" s="89">
        <v>16.9</v>
      </c>
      <c r="Z22" s="95">
        <v>17.4</v>
      </c>
      <c r="AA22" s="91">
        <v>19</v>
      </c>
      <c r="AC22" s="92">
        <v>5</v>
      </c>
      <c r="AD22" s="90">
        <v>0.1</v>
      </c>
      <c r="AE22" s="96">
        <v>0</v>
      </c>
      <c r="AG22" s="45">
        <f t="shared" si="2"/>
        <v>11</v>
      </c>
      <c r="AH22" s="281"/>
      <c r="AI22" s="97">
        <v>271</v>
      </c>
      <c r="AJ22" s="55">
        <f t="shared" si="3"/>
        <v>4653.62826</v>
      </c>
      <c r="AK22" s="97"/>
      <c r="AL22" s="55">
        <f t="shared" si="4"/>
      </c>
      <c r="AM22" s="97">
        <v>16</v>
      </c>
      <c r="AN22" s="55">
        <f t="shared" si="5"/>
        <v>274.75296000000003</v>
      </c>
      <c r="AO22" s="109">
        <v>12</v>
      </c>
      <c r="AQ22" s="99">
        <v>304</v>
      </c>
      <c r="AR22" s="55">
        <f t="shared" si="6"/>
        <v>5220.30624</v>
      </c>
      <c r="AS22" s="97"/>
      <c r="AT22" s="55">
        <f t="shared" si="7"/>
      </c>
      <c r="AU22" s="97">
        <v>25</v>
      </c>
      <c r="AV22" s="55">
        <f t="shared" si="8"/>
        <v>429.30150000000003</v>
      </c>
      <c r="AX22" s="99"/>
      <c r="AY22" s="100"/>
      <c r="AZ22" s="101"/>
      <c r="BA22" s="97"/>
      <c r="BB22" s="101"/>
      <c r="BC22" s="97"/>
      <c r="BD22" s="97"/>
      <c r="BE22" s="102"/>
      <c r="BG22" s="99">
        <v>24</v>
      </c>
      <c r="BH22" s="83" t="s">
        <v>210</v>
      </c>
      <c r="BI22" s="103" t="s">
        <v>211</v>
      </c>
      <c r="BK22" s="17"/>
      <c r="BL22" s="19"/>
      <c r="BM22" s="56" t="s">
        <v>21</v>
      </c>
      <c r="BN22" s="20"/>
      <c r="BO22" s="57" t="s">
        <v>130</v>
      </c>
      <c r="BP22" s="26"/>
      <c r="BQ22" s="185">
        <f>(IF(((SUM(AV12:AV42))=0)," ",(AVERAGE(AV12:AV42))))</f>
        <v>413.75018</v>
      </c>
      <c r="BR22" s="185">
        <f>MAX(AV12:AV42)</f>
        <v>556.9452</v>
      </c>
      <c r="BS22" s="26" t="s">
        <v>126</v>
      </c>
      <c r="BT22" s="26"/>
      <c r="BU22" s="185">
        <f>(IF(((SUM(AU12:AU42))=0)," ",(AVERAGE(AU12:AU42))))</f>
        <v>21.25</v>
      </c>
      <c r="BV22" s="58">
        <f>(CJ23)</f>
        <v>25.666666666666668</v>
      </c>
      <c r="BW22" s="185">
        <f>MAX(AU12:AU42)</f>
        <v>30</v>
      </c>
      <c r="BX22" s="26" t="s">
        <v>128</v>
      </c>
      <c r="BY22" s="26"/>
      <c r="BZ22" s="26">
        <v>0</v>
      </c>
      <c r="CA22" s="266" t="s">
        <v>47</v>
      </c>
      <c r="CB22" s="26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4">
        <v>2974448</v>
      </c>
      <c r="D23" s="137">
        <f t="shared" si="0"/>
        <v>2.143</v>
      </c>
      <c r="E23" s="139">
        <v>7</v>
      </c>
      <c r="F23" s="140">
        <v>0.6</v>
      </c>
      <c r="G23" s="81" t="str">
        <f t="shared" si="1"/>
        <v>0.00</v>
      </c>
      <c r="H23" s="84">
        <v>2350</v>
      </c>
      <c r="I23" s="85">
        <v>1000</v>
      </c>
      <c r="K23" s="86" t="s">
        <v>208</v>
      </c>
      <c r="L23" s="84">
        <v>69</v>
      </c>
      <c r="M23" s="87">
        <v>0.32</v>
      </c>
      <c r="O23" s="106"/>
      <c r="Q23" s="107">
        <v>18</v>
      </c>
      <c r="R23" s="152">
        <v>0.2</v>
      </c>
      <c r="S23" s="108"/>
      <c r="U23" s="92">
        <v>7.09</v>
      </c>
      <c r="V23" s="93">
        <v>6.97</v>
      </c>
      <c r="W23" s="94">
        <v>6.47</v>
      </c>
      <c r="Y23" s="89">
        <v>18.4</v>
      </c>
      <c r="Z23" s="95">
        <v>17.5</v>
      </c>
      <c r="AA23" s="91">
        <v>19.1</v>
      </c>
      <c r="AC23" s="92">
        <v>4</v>
      </c>
      <c r="AD23" s="90">
        <v>0.1</v>
      </c>
      <c r="AE23" s="96">
        <v>0</v>
      </c>
      <c r="AG23" s="45">
        <f t="shared" si="2"/>
        <v>12</v>
      </c>
      <c r="AH23" s="281"/>
      <c r="AI23" s="97">
        <v>302</v>
      </c>
      <c r="AJ23" s="55">
        <f t="shared" si="3"/>
        <v>5397.531239999999</v>
      </c>
      <c r="AK23" s="97"/>
      <c r="AL23" s="55">
        <f t="shared" si="4"/>
      </c>
      <c r="AM23" s="97">
        <v>16</v>
      </c>
      <c r="AN23" s="55">
        <f t="shared" si="5"/>
        <v>285.96191999999996</v>
      </c>
      <c r="AO23" s="109">
        <v>12</v>
      </c>
      <c r="AQ23" s="99">
        <v>308</v>
      </c>
      <c r="AR23" s="55">
        <f t="shared" si="6"/>
        <v>5504.76696</v>
      </c>
      <c r="AS23" s="97"/>
      <c r="AT23" s="55">
        <f t="shared" si="7"/>
      </c>
      <c r="AU23" s="97">
        <v>24</v>
      </c>
      <c r="AV23" s="55">
        <f t="shared" si="8"/>
        <v>428.94287999999995</v>
      </c>
      <c r="AX23" s="99">
        <v>30846</v>
      </c>
      <c r="AY23" s="100">
        <v>3</v>
      </c>
      <c r="AZ23" s="101">
        <v>2</v>
      </c>
      <c r="BA23" s="97">
        <v>18.6</v>
      </c>
      <c r="BB23" s="101">
        <v>33</v>
      </c>
      <c r="BC23" s="97">
        <v>12</v>
      </c>
      <c r="BD23" s="97">
        <v>1020</v>
      </c>
      <c r="BE23" s="102">
        <v>12.23</v>
      </c>
      <c r="BG23" s="99">
        <v>12</v>
      </c>
      <c r="BH23" s="83" t="s">
        <v>223</v>
      </c>
      <c r="BI23" s="103" t="s">
        <v>224</v>
      </c>
      <c r="BK23" s="17"/>
      <c r="BL23" s="19"/>
      <c r="BM23" s="26" t="s">
        <v>86</v>
      </c>
      <c r="BN23" s="20"/>
      <c r="BO23" s="153" t="s">
        <v>131</v>
      </c>
      <c r="BP23" s="26"/>
      <c r="BQ23" s="267">
        <v>963</v>
      </c>
      <c r="BR23" s="267">
        <v>1605</v>
      </c>
      <c r="BS23" s="154" t="s">
        <v>126</v>
      </c>
      <c r="BT23" s="26"/>
      <c r="BU23" s="267">
        <v>30</v>
      </c>
      <c r="BV23" s="268">
        <v>45</v>
      </c>
      <c r="BW23" s="267">
        <v>50</v>
      </c>
      <c r="BX23" s="154" t="s">
        <v>128</v>
      </c>
      <c r="BY23" s="26"/>
      <c r="BZ23" s="269" t="s">
        <v>150</v>
      </c>
      <c r="CA23" s="270" t="s">
        <v>47</v>
      </c>
      <c r="CB23" s="154">
        <v>24</v>
      </c>
      <c r="CC23" s="136"/>
      <c r="CE23" s="69"/>
      <c r="CF23" s="72" t="s">
        <v>53</v>
      </c>
      <c r="CG23" s="185">
        <f>(IF(((SUM(CG12:CG19))=0)," ",(MAX(CG12:CG19))))</f>
        <v>15.666666666666666</v>
      </c>
      <c r="CH23" s="185">
        <f>(IF(((SUM(CH12:CH19))=0)," ",(MAX(CH12:CH19))))</f>
        <v>297.28486</v>
      </c>
      <c r="CI23" s="185"/>
      <c r="CJ23" s="185">
        <f>(IF(((SUM(CJ12:CJ19))=0)," ",(MAX(CJ12:CJ19))))</f>
        <v>25.666666666666668</v>
      </c>
      <c r="CK23" s="185">
        <f>(IF(((SUM(CK12:CK19))=0)," ",(MAX(CK12:CK19))))</f>
        <v>474.44591999999994</v>
      </c>
      <c r="CL23" s="71"/>
      <c r="CM23" s="60">
        <f>(MAX(CM12:CM20))</f>
        <v>0.002857142857142857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4">
        <v>2977095</v>
      </c>
      <c r="D24" s="137">
        <f t="shared" si="0"/>
        <v>2.647</v>
      </c>
      <c r="E24" s="139">
        <v>6</v>
      </c>
      <c r="F24" s="140">
        <v>0.6</v>
      </c>
      <c r="G24" s="81" t="str">
        <f t="shared" si="1"/>
        <v>0.00</v>
      </c>
      <c r="H24" s="84">
        <v>8500</v>
      </c>
      <c r="I24" s="85">
        <v>9500</v>
      </c>
      <c r="K24" s="86" t="s">
        <v>213</v>
      </c>
      <c r="L24" s="84">
        <v>69</v>
      </c>
      <c r="M24" s="87">
        <v>1.44</v>
      </c>
      <c r="O24" s="106"/>
      <c r="Q24" s="107">
        <v>19</v>
      </c>
      <c r="R24" s="152">
        <v>0.27</v>
      </c>
      <c r="S24" s="108"/>
      <c r="U24" s="92">
        <v>6.76</v>
      </c>
      <c r="V24" s="93">
        <v>6.78</v>
      </c>
      <c r="W24" s="94">
        <v>6.35</v>
      </c>
      <c r="Y24" s="89">
        <v>18.9</v>
      </c>
      <c r="Z24" s="95">
        <v>18.7</v>
      </c>
      <c r="AA24" s="91">
        <v>19.3</v>
      </c>
      <c r="AC24" s="92">
        <v>5</v>
      </c>
      <c r="AD24" s="90">
        <v>0.5</v>
      </c>
      <c r="AE24" s="96">
        <v>0.01</v>
      </c>
      <c r="AG24" s="45">
        <f t="shared" si="2"/>
        <v>13</v>
      </c>
      <c r="AH24" s="281"/>
      <c r="AI24" s="97">
        <v>290</v>
      </c>
      <c r="AJ24" s="55">
        <f t="shared" si="3"/>
        <v>6402.0342</v>
      </c>
      <c r="AK24" s="97">
        <v>182</v>
      </c>
      <c r="AL24" s="55">
        <f t="shared" si="4"/>
        <v>4017.8283599999995</v>
      </c>
      <c r="AM24" s="97">
        <v>15</v>
      </c>
      <c r="AN24" s="55">
        <f t="shared" si="5"/>
        <v>331.1397</v>
      </c>
      <c r="AO24" s="109">
        <v>10</v>
      </c>
      <c r="AQ24" s="99">
        <v>252</v>
      </c>
      <c r="AR24" s="55">
        <f t="shared" si="6"/>
        <v>5563.14696</v>
      </c>
      <c r="AS24" s="97">
        <v>73</v>
      </c>
      <c r="AT24" s="55">
        <f t="shared" si="7"/>
        <v>1611.5465399999998</v>
      </c>
      <c r="AU24" s="97">
        <v>24</v>
      </c>
      <c r="AV24" s="55">
        <f t="shared" si="8"/>
        <v>529.8235199999999</v>
      </c>
      <c r="AX24" s="99"/>
      <c r="AY24" s="100"/>
      <c r="AZ24" s="101"/>
      <c r="BA24" s="97"/>
      <c r="BB24" s="101"/>
      <c r="BC24" s="97"/>
      <c r="BD24" s="97"/>
      <c r="BE24" s="102"/>
      <c r="BG24" s="99"/>
      <c r="BH24" s="83"/>
      <c r="BI24" s="103"/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4">
        <v>2979744</v>
      </c>
      <c r="D25" s="137">
        <f t="shared" si="0"/>
        <v>2.649</v>
      </c>
      <c r="E25" s="139">
        <v>4</v>
      </c>
      <c r="F25" s="140">
        <v>0.6</v>
      </c>
      <c r="G25" s="81" t="str">
        <f t="shared" si="1"/>
        <v>0.00</v>
      </c>
      <c r="H25" s="84">
        <v>2000</v>
      </c>
      <c r="I25" s="85">
        <v>0</v>
      </c>
      <c r="K25" s="86" t="s">
        <v>209</v>
      </c>
      <c r="L25" s="84">
        <v>72</v>
      </c>
      <c r="M25" s="87">
        <v>0.01</v>
      </c>
      <c r="O25" s="106"/>
      <c r="Q25" s="107">
        <v>19</v>
      </c>
      <c r="R25" s="152">
        <v>0.24</v>
      </c>
      <c r="S25" s="108"/>
      <c r="U25" s="92">
        <v>6.63</v>
      </c>
      <c r="V25" s="93">
        <v>6.81</v>
      </c>
      <c r="W25" s="94">
        <v>6.48</v>
      </c>
      <c r="Y25" s="89">
        <v>17.6</v>
      </c>
      <c r="Z25" s="95">
        <v>17.9</v>
      </c>
      <c r="AA25" s="91">
        <v>19.6</v>
      </c>
      <c r="AC25" s="92">
        <v>4</v>
      </c>
      <c r="AD25" s="90">
        <v>0.1</v>
      </c>
      <c r="AE25" s="96">
        <v>0.01</v>
      </c>
      <c r="AG25" s="45">
        <f t="shared" si="2"/>
        <v>14</v>
      </c>
      <c r="AH25" s="281"/>
      <c r="AI25" s="97"/>
      <c r="AJ25" s="55">
        <f t="shared" si="3"/>
      </c>
      <c r="AK25" s="97"/>
      <c r="AL25" s="55">
        <f t="shared" si="4"/>
      </c>
      <c r="AM25" s="97"/>
      <c r="AN25" s="55">
        <f t="shared" si="5"/>
      </c>
      <c r="AO25" s="109"/>
      <c r="AQ25" s="99"/>
      <c r="AR25" s="55">
        <f t="shared" si="6"/>
      </c>
      <c r="AS25" s="97"/>
      <c r="AT25" s="55">
        <f t="shared" si="7"/>
      </c>
      <c r="AU25" s="97"/>
      <c r="AV25" s="55">
        <f t="shared" si="8"/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2">
        <v>2982000</v>
      </c>
      <c r="D26" s="138">
        <f t="shared" si="0"/>
        <v>2.256</v>
      </c>
      <c r="E26" s="141">
        <v>4</v>
      </c>
      <c r="F26" s="142">
        <v>0.6</v>
      </c>
      <c r="G26" s="183" t="str">
        <f t="shared" si="1"/>
        <v>0.00</v>
      </c>
      <c r="H26" s="112">
        <v>500</v>
      </c>
      <c r="I26" s="113">
        <v>0</v>
      </c>
      <c r="K26" s="114" t="s">
        <v>208</v>
      </c>
      <c r="L26" s="112">
        <v>63</v>
      </c>
      <c r="M26" s="115">
        <v>0.11</v>
      </c>
      <c r="O26" s="116"/>
      <c r="Q26" s="258">
        <v>16</v>
      </c>
      <c r="R26" s="259">
        <v>0.3</v>
      </c>
      <c r="S26" s="264"/>
      <c r="U26" s="117">
        <v>6.63</v>
      </c>
      <c r="V26" s="118">
        <v>6.81</v>
      </c>
      <c r="W26" s="119">
        <v>6.51</v>
      </c>
      <c r="Y26" s="120">
        <v>16.9</v>
      </c>
      <c r="Z26" s="121">
        <v>17.8</v>
      </c>
      <c r="AA26" s="122">
        <v>19.1</v>
      </c>
      <c r="AC26" s="117">
        <v>2.5</v>
      </c>
      <c r="AD26" s="123">
        <v>0.01</v>
      </c>
      <c r="AE26" s="124">
        <v>0</v>
      </c>
      <c r="AG26" s="45">
        <f t="shared" si="2"/>
        <v>15</v>
      </c>
      <c r="AH26" s="281"/>
      <c r="AI26" s="125"/>
      <c r="AJ26" s="65">
        <f t="shared" si="3"/>
      </c>
      <c r="AK26" s="125"/>
      <c r="AL26" s="65">
        <f t="shared" si="4"/>
      </c>
      <c r="AM26" s="125"/>
      <c r="AN26" s="65">
        <f t="shared" si="5"/>
      </c>
      <c r="AO26" s="126"/>
      <c r="AQ26" s="127"/>
      <c r="AR26" s="65">
        <f t="shared" si="6"/>
      </c>
      <c r="AS26" s="125"/>
      <c r="AT26" s="65">
        <f t="shared" si="7"/>
      </c>
      <c r="AU26" s="125"/>
      <c r="AV26" s="65">
        <f t="shared" si="8"/>
      </c>
      <c r="AX26" s="127"/>
      <c r="AY26" s="128"/>
      <c r="AZ26" s="129"/>
      <c r="BA26" s="125"/>
      <c r="BB26" s="129"/>
      <c r="BC26" s="125"/>
      <c r="BD26" s="125"/>
      <c r="BE26" s="130"/>
      <c r="BG26" s="127"/>
      <c r="BH26" s="110"/>
      <c r="BI26" s="131"/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4">
        <v>2984316</v>
      </c>
      <c r="D27" s="137">
        <f t="shared" si="0"/>
        <v>2.316</v>
      </c>
      <c r="E27" s="139">
        <v>3.6</v>
      </c>
      <c r="F27" s="140">
        <v>0.6</v>
      </c>
      <c r="G27" s="81" t="str">
        <f t="shared" si="1"/>
        <v>0.00</v>
      </c>
      <c r="H27" s="84">
        <v>3700</v>
      </c>
      <c r="I27" s="85">
        <v>9000</v>
      </c>
      <c r="K27" s="86" t="s">
        <v>222</v>
      </c>
      <c r="L27" s="84">
        <v>63</v>
      </c>
      <c r="M27" s="87">
        <v>0.32</v>
      </c>
      <c r="O27" s="106"/>
      <c r="Q27" s="107">
        <v>16</v>
      </c>
      <c r="R27" s="152">
        <v>0.21</v>
      </c>
      <c r="S27" s="108">
        <v>5</v>
      </c>
      <c r="U27" s="92">
        <v>6.95</v>
      </c>
      <c r="V27" s="93">
        <v>6.83</v>
      </c>
      <c r="W27" s="94">
        <v>6.49</v>
      </c>
      <c r="Y27" s="89">
        <v>17.7</v>
      </c>
      <c r="Z27" s="95">
        <v>17.5</v>
      </c>
      <c r="AA27" s="91">
        <v>18.8</v>
      </c>
      <c r="AC27" s="92">
        <v>6</v>
      </c>
      <c r="AD27" s="90">
        <v>0.01</v>
      </c>
      <c r="AE27" s="96">
        <v>0</v>
      </c>
      <c r="AG27" s="45">
        <f t="shared" si="2"/>
        <v>16</v>
      </c>
      <c r="AH27" s="281"/>
      <c r="AI27" s="97"/>
      <c r="AJ27" s="55">
        <f t="shared" si="3"/>
      </c>
      <c r="AK27" s="97"/>
      <c r="AL27" s="55">
        <f t="shared" si="4"/>
      </c>
      <c r="AM27" s="97"/>
      <c r="AN27" s="55">
        <f t="shared" si="5"/>
      </c>
      <c r="AO27" s="109"/>
      <c r="AQ27" s="99"/>
      <c r="AR27" s="55">
        <f t="shared" si="6"/>
      </c>
      <c r="AS27" s="97"/>
      <c r="AT27" s="55">
        <f t="shared" si="7"/>
      </c>
      <c r="AU27" s="97"/>
      <c r="AV27" s="55">
        <f t="shared" si="8"/>
      </c>
      <c r="AX27" s="99">
        <v>82673</v>
      </c>
      <c r="AY27" s="100">
        <v>3</v>
      </c>
      <c r="AZ27" s="101">
        <v>5.5</v>
      </c>
      <c r="BA27" s="97">
        <v>21.7</v>
      </c>
      <c r="BB27" s="101">
        <v>34</v>
      </c>
      <c r="BC27" s="97">
        <v>36</v>
      </c>
      <c r="BD27" s="97">
        <v>2805</v>
      </c>
      <c r="BE27" s="102">
        <v>12.24</v>
      </c>
      <c r="BG27" s="99">
        <v>36</v>
      </c>
      <c r="BH27" s="83" t="s">
        <v>223</v>
      </c>
      <c r="BI27" s="103" t="s">
        <v>224</v>
      </c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4">
        <v>2986718</v>
      </c>
      <c r="D28" s="137">
        <f t="shared" si="0"/>
        <v>2.402</v>
      </c>
      <c r="E28" s="139">
        <v>3.8</v>
      </c>
      <c r="F28" s="140">
        <v>0.6</v>
      </c>
      <c r="G28" s="81" t="str">
        <f t="shared" si="1"/>
        <v>0.00</v>
      </c>
      <c r="H28" s="84">
        <v>5800</v>
      </c>
      <c r="I28" s="85">
        <v>7750</v>
      </c>
      <c r="K28" s="86" t="s">
        <v>209</v>
      </c>
      <c r="L28" s="84">
        <v>64</v>
      </c>
      <c r="M28" s="87">
        <v>0</v>
      </c>
      <c r="O28" s="106"/>
      <c r="Q28" s="107">
        <v>16</v>
      </c>
      <c r="R28" s="152">
        <v>0.34</v>
      </c>
      <c r="S28" s="108">
        <v>15</v>
      </c>
      <c r="U28" s="92">
        <v>7.09</v>
      </c>
      <c r="V28" s="93">
        <v>6.9</v>
      </c>
      <c r="W28" s="94">
        <v>6.73</v>
      </c>
      <c r="Y28" s="89">
        <v>17.4</v>
      </c>
      <c r="Z28" s="95">
        <v>17.7</v>
      </c>
      <c r="AA28" s="91">
        <v>18.8</v>
      </c>
      <c r="AC28" s="92">
        <v>12</v>
      </c>
      <c r="AD28" s="90">
        <v>0.01</v>
      </c>
      <c r="AE28" s="96">
        <v>0</v>
      </c>
      <c r="AG28" s="45">
        <f t="shared" si="2"/>
        <v>17</v>
      </c>
      <c r="AH28" s="281"/>
      <c r="AI28" s="97"/>
      <c r="AJ28" s="55">
        <f t="shared" si="3"/>
      </c>
      <c r="AK28" s="97"/>
      <c r="AL28" s="55">
        <f t="shared" si="4"/>
      </c>
      <c r="AM28" s="97"/>
      <c r="AN28" s="55">
        <f t="shared" si="5"/>
      </c>
      <c r="AO28" s="109"/>
      <c r="AQ28" s="99"/>
      <c r="AR28" s="55">
        <f t="shared" si="6"/>
      </c>
      <c r="AS28" s="97"/>
      <c r="AT28" s="55">
        <f t="shared" si="7"/>
      </c>
      <c r="AU28" s="97"/>
      <c r="AV28" s="55">
        <f t="shared" si="8"/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71" t="s">
        <v>150</v>
      </c>
      <c r="BR28" s="271" t="s">
        <v>150</v>
      </c>
      <c r="BS28" s="271" t="s">
        <v>150</v>
      </c>
      <c r="BT28" s="271"/>
      <c r="BU28" s="271" t="s">
        <v>150</v>
      </c>
      <c r="BV28" s="71">
        <f>(CM23)</f>
        <v>0.002857142857142857</v>
      </c>
      <c r="BW28" s="71">
        <f>MAX(AE12:AE42)</f>
        <v>0.01</v>
      </c>
      <c r="BX28" s="26" t="s">
        <v>128</v>
      </c>
      <c r="BY28" s="26"/>
      <c r="BZ28" s="26">
        <v>0</v>
      </c>
      <c r="CA28" s="266" t="s">
        <v>48</v>
      </c>
      <c r="CB28" s="26" t="s">
        <v>23</v>
      </c>
      <c r="CC28" s="136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4">
        <v>2989069</v>
      </c>
      <c r="D29" s="137">
        <f t="shared" si="0"/>
        <v>2.351</v>
      </c>
      <c r="E29" s="139">
        <v>3.8</v>
      </c>
      <c r="F29" s="140">
        <v>0.6</v>
      </c>
      <c r="G29" s="81" t="str">
        <f t="shared" si="1"/>
        <v>0.00</v>
      </c>
      <c r="H29" s="84">
        <v>3500</v>
      </c>
      <c r="I29" s="85">
        <v>11000</v>
      </c>
      <c r="K29" s="86" t="s">
        <v>209</v>
      </c>
      <c r="L29" s="84">
        <v>65</v>
      </c>
      <c r="M29" s="87">
        <v>0.01</v>
      </c>
      <c r="O29" s="106"/>
      <c r="Q29" s="107">
        <v>17</v>
      </c>
      <c r="R29" s="152">
        <v>0.2</v>
      </c>
      <c r="S29" s="108">
        <v>38</v>
      </c>
      <c r="U29" s="92">
        <v>6.91</v>
      </c>
      <c r="V29" s="93">
        <v>6.83</v>
      </c>
      <c r="W29" s="94">
        <v>6.6</v>
      </c>
      <c r="Y29" s="89">
        <v>17.8</v>
      </c>
      <c r="Z29" s="95">
        <v>17.7</v>
      </c>
      <c r="AA29" s="91">
        <v>18.8</v>
      </c>
      <c r="AC29" s="92">
        <v>6</v>
      </c>
      <c r="AD29" s="90">
        <v>0.01</v>
      </c>
      <c r="AE29" s="96">
        <v>0</v>
      </c>
      <c r="AG29" s="45">
        <f t="shared" si="2"/>
        <v>18</v>
      </c>
      <c r="AH29" s="281"/>
      <c r="AI29" s="97">
        <v>244</v>
      </c>
      <c r="AJ29" s="55">
        <f t="shared" si="3"/>
        <v>4784.19096</v>
      </c>
      <c r="AK29" s="97"/>
      <c r="AL29" s="55">
        <f t="shared" si="4"/>
      </c>
      <c r="AM29" s="97">
        <v>9</v>
      </c>
      <c r="AN29" s="55">
        <f t="shared" si="5"/>
        <v>176.46606</v>
      </c>
      <c r="AO29" s="109">
        <v>7</v>
      </c>
      <c r="AQ29" s="99">
        <v>222</v>
      </c>
      <c r="AR29" s="55">
        <f t="shared" si="6"/>
        <v>4352.82948</v>
      </c>
      <c r="AS29" s="97"/>
      <c r="AT29" s="55">
        <f t="shared" si="7"/>
      </c>
      <c r="AU29" s="97">
        <v>17</v>
      </c>
      <c r="AV29" s="55">
        <f t="shared" si="8"/>
        <v>333.32478</v>
      </c>
      <c r="AX29" s="99"/>
      <c r="AY29" s="100"/>
      <c r="AZ29" s="101"/>
      <c r="BA29" s="97"/>
      <c r="BB29" s="101"/>
      <c r="BC29" s="97"/>
      <c r="BD29" s="97"/>
      <c r="BE29" s="102"/>
      <c r="BG29" s="99"/>
      <c r="BH29" s="83"/>
      <c r="BI29" s="103"/>
      <c r="BK29" s="17"/>
      <c r="BL29" s="19"/>
      <c r="BM29" s="26" t="s">
        <v>86</v>
      </c>
      <c r="BN29" s="20"/>
      <c r="BO29" s="153" t="s">
        <v>131</v>
      </c>
      <c r="BP29" s="26"/>
      <c r="BQ29" s="269" t="s">
        <v>150</v>
      </c>
      <c r="BR29" s="269" t="s">
        <v>150</v>
      </c>
      <c r="BS29" s="269" t="s">
        <v>150</v>
      </c>
      <c r="BT29" s="271"/>
      <c r="BU29" s="269" t="s">
        <v>150</v>
      </c>
      <c r="BV29" s="154" t="s">
        <v>146</v>
      </c>
      <c r="BW29" s="154">
        <v>0.3</v>
      </c>
      <c r="BX29" s="154" t="s">
        <v>128</v>
      </c>
      <c r="BY29" s="26"/>
      <c r="BZ29" s="269" t="s">
        <v>150</v>
      </c>
      <c r="CA29" s="270" t="s">
        <v>48</v>
      </c>
      <c r="CB29" s="154" t="s">
        <v>23</v>
      </c>
      <c r="CC29" s="136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4">
        <v>2991286</v>
      </c>
      <c r="D30" s="137">
        <f t="shared" si="0"/>
        <v>2.217</v>
      </c>
      <c r="E30" s="139">
        <v>3.8</v>
      </c>
      <c r="F30" s="140">
        <v>0.6</v>
      </c>
      <c r="G30" s="81" t="str">
        <f t="shared" si="1"/>
        <v>0.00</v>
      </c>
      <c r="H30" s="84">
        <v>1200</v>
      </c>
      <c r="I30" s="85">
        <v>2750</v>
      </c>
      <c r="K30" s="86" t="s">
        <v>208</v>
      </c>
      <c r="L30" s="84">
        <v>64</v>
      </c>
      <c r="M30" s="87">
        <v>0</v>
      </c>
      <c r="O30" s="106"/>
      <c r="Q30" s="107">
        <v>17</v>
      </c>
      <c r="R30" s="152">
        <v>0.23</v>
      </c>
      <c r="S30" s="108"/>
      <c r="U30" s="92">
        <v>7.02</v>
      </c>
      <c r="V30" s="93">
        <v>6.95</v>
      </c>
      <c r="W30" s="94">
        <v>6.56</v>
      </c>
      <c r="Y30" s="89">
        <v>17.4</v>
      </c>
      <c r="Z30" s="95">
        <v>17.8</v>
      </c>
      <c r="AA30" s="91">
        <v>19.2</v>
      </c>
      <c r="AC30" s="92">
        <v>7</v>
      </c>
      <c r="AD30" s="90">
        <v>0.01</v>
      </c>
      <c r="AE30" s="96">
        <v>0</v>
      </c>
      <c r="AG30" s="45">
        <f t="shared" si="2"/>
        <v>19</v>
      </c>
      <c r="AH30" s="281"/>
      <c r="AI30" s="97">
        <v>309</v>
      </c>
      <c r="AJ30" s="55">
        <f t="shared" si="3"/>
        <v>5713.34202</v>
      </c>
      <c r="AK30" s="97"/>
      <c r="AL30" s="55">
        <f t="shared" si="4"/>
      </c>
      <c r="AM30" s="97">
        <v>11</v>
      </c>
      <c r="AN30" s="55">
        <f t="shared" si="5"/>
        <v>203.38758</v>
      </c>
      <c r="AO30" s="109">
        <v>11</v>
      </c>
      <c r="AQ30" s="99">
        <v>296</v>
      </c>
      <c r="AR30" s="55">
        <f t="shared" si="6"/>
        <v>5472.97488</v>
      </c>
      <c r="AS30" s="97"/>
      <c r="AT30" s="55">
        <f t="shared" si="7"/>
      </c>
      <c r="AU30" s="97">
        <v>20</v>
      </c>
      <c r="AV30" s="55">
        <f t="shared" si="8"/>
        <v>369.79560000000004</v>
      </c>
      <c r="AX30" s="99">
        <v>29591</v>
      </c>
      <c r="AY30" s="100">
        <v>2</v>
      </c>
      <c r="AZ30" s="101">
        <v>2</v>
      </c>
      <c r="BA30" s="97">
        <v>18.6</v>
      </c>
      <c r="BB30" s="101">
        <v>33</v>
      </c>
      <c r="BC30" s="97">
        <v>12</v>
      </c>
      <c r="BD30" s="97">
        <v>960</v>
      </c>
      <c r="BE30" s="102">
        <v>12.1</v>
      </c>
      <c r="BG30" s="99">
        <v>12</v>
      </c>
      <c r="BH30" s="83" t="s">
        <v>223</v>
      </c>
      <c r="BI30" s="103" t="s">
        <v>224</v>
      </c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2">
        <v>2993703</v>
      </c>
      <c r="D31" s="138">
        <f t="shared" si="0"/>
        <v>2.417</v>
      </c>
      <c r="E31" s="141">
        <v>3.6</v>
      </c>
      <c r="F31" s="142">
        <v>0.6</v>
      </c>
      <c r="G31" s="183" t="str">
        <f t="shared" si="1"/>
        <v>0.00</v>
      </c>
      <c r="H31" s="112">
        <v>10200</v>
      </c>
      <c r="I31" s="113">
        <v>3500</v>
      </c>
      <c r="K31" s="114" t="s">
        <v>209</v>
      </c>
      <c r="L31" s="112">
        <v>67</v>
      </c>
      <c r="M31" s="115">
        <v>0.01</v>
      </c>
      <c r="O31" s="116"/>
      <c r="Q31" s="258">
        <v>18</v>
      </c>
      <c r="R31" s="259">
        <v>0.27</v>
      </c>
      <c r="S31" s="264"/>
      <c r="U31" s="117">
        <v>7.03</v>
      </c>
      <c r="V31" s="118">
        <v>6.88</v>
      </c>
      <c r="W31" s="119">
        <v>6.58</v>
      </c>
      <c r="Y31" s="120">
        <v>17.1</v>
      </c>
      <c r="Z31" s="121">
        <v>17.8</v>
      </c>
      <c r="AA31" s="122">
        <v>19.2</v>
      </c>
      <c r="AC31" s="117">
        <v>5.5</v>
      </c>
      <c r="AD31" s="123">
        <v>0.01</v>
      </c>
      <c r="AE31" s="124">
        <v>0</v>
      </c>
      <c r="AG31" s="45">
        <f t="shared" si="2"/>
        <v>20</v>
      </c>
      <c r="AH31" s="281"/>
      <c r="AI31" s="125">
        <v>309</v>
      </c>
      <c r="AJ31" s="65">
        <f t="shared" si="3"/>
        <v>6228.754019999999</v>
      </c>
      <c r="AK31" s="125">
        <v>167</v>
      </c>
      <c r="AL31" s="65">
        <f t="shared" si="4"/>
        <v>3366.3492599999995</v>
      </c>
      <c r="AM31" s="125">
        <v>12</v>
      </c>
      <c r="AN31" s="65">
        <f t="shared" si="5"/>
        <v>241.89335999999997</v>
      </c>
      <c r="AO31" s="126">
        <v>9</v>
      </c>
      <c r="AQ31" s="127">
        <v>218</v>
      </c>
      <c r="AR31" s="65">
        <f t="shared" si="6"/>
        <v>4394.39604</v>
      </c>
      <c r="AS31" s="125">
        <v>79</v>
      </c>
      <c r="AT31" s="65">
        <f t="shared" si="7"/>
        <v>1592.4646199999997</v>
      </c>
      <c r="AU31" s="125">
        <v>20</v>
      </c>
      <c r="AV31" s="65">
        <f t="shared" si="8"/>
        <v>403.15559999999994</v>
      </c>
      <c r="AX31" s="127"/>
      <c r="AY31" s="128"/>
      <c r="AZ31" s="129"/>
      <c r="BA31" s="125"/>
      <c r="BB31" s="129"/>
      <c r="BC31" s="125"/>
      <c r="BD31" s="125"/>
      <c r="BE31" s="130"/>
      <c r="BG31" s="127"/>
      <c r="BH31" s="110"/>
      <c r="BI31" s="131"/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C32" s="84">
        <v>2995967</v>
      </c>
      <c r="D32" s="137">
        <f t="shared" si="0"/>
        <v>2.264</v>
      </c>
      <c r="E32" s="139">
        <v>9.5</v>
      </c>
      <c r="F32" s="140">
        <v>0.8</v>
      </c>
      <c r="G32" s="81" t="str">
        <f t="shared" si="1"/>
        <v>0.00</v>
      </c>
      <c r="H32" s="84">
        <v>2000</v>
      </c>
      <c r="I32" s="85">
        <v>2500</v>
      </c>
      <c r="K32" s="86" t="s">
        <v>213</v>
      </c>
      <c r="L32" s="84">
        <v>66</v>
      </c>
      <c r="M32" s="87">
        <v>1.38</v>
      </c>
      <c r="O32" s="106"/>
      <c r="Q32" s="107">
        <v>20</v>
      </c>
      <c r="R32" s="152">
        <v>0.42</v>
      </c>
      <c r="S32" s="108"/>
      <c r="U32" s="92">
        <v>7.02</v>
      </c>
      <c r="V32" s="93">
        <v>6.89</v>
      </c>
      <c r="W32" s="94">
        <v>6.48</v>
      </c>
      <c r="Y32" s="89">
        <v>17.9</v>
      </c>
      <c r="Z32" s="95">
        <v>17.7</v>
      </c>
      <c r="AA32" s="91">
        <v>19.2</v>
      </c>
      <c r="AC32" s="92">
        <v>8</v>
      </c>
      <c r="AD32" s="90">
        <v>0.01</v>
      </c>
      <c r="AE32" s="96">
        <v>0</v>
      </c>
      <c r="AG32" s="45">
        <f t="shared" si="2"/>
        <v>21</v>
      </c>
      <c r="AH32" s="281"/>
      <c r="AI32" s="97"/>
      <c r="AJ32" s="55">
        <f t="shared" si="3"/>
      </c>
      <c r="AK32" s="97"/>
      <c r="AL32" s="55">
        <f t="shared" si="4"/>
      </c>
      <c r="AM32" s="97"/>
      <c r="AN32" s="55">
        <f t="shared" si="5"/>
      </c>
      <c r="AO32" s="109"/>
      <c r="AQ32" s="99"/>
      <c r="AR32" s="55">
        <f t="shared" si="6"/>
      </c>
      <c r="AS32" s="97"/>
      <c r="AT32" s="55">
        <f t="shared" si="7"/>
      </c>
      <c r="AU32" s="97"/>
      <c r="AV32" s="55">
        <f t="shared" si="8"/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4">
        <v>2999005</v>
      </c>
      <c r="D33" s="137">
        <f t="shared" si="0"/>
        <v>3.038</v>
      </c>
      <c r="E33" s="139">
        <v>4.4</v>
      </c>
      <c r="F33" s="140">
        <v>0.8</v>
      </c>
      <c r="G33" s="81" t="str">
        <f t="shared" si="1"/>
        <v>0.00</v>
      </c>
      <c r="H33" s="84">
        <v>0</v>
      </c>
      <c r="I33" s="85">
        <v>0</v>
      </c>
      <c r="K33" s="86" t="s">
        <v>209</v>
      </c>
      <c r="L33" s="84">
        <v>61</v>
      </c>
      <c r="M33" s="87">
        <v>0.3</v>
      </c>
      <c r="O33" s="106"/>
      <c r="Q33" s="107">
        <v>22</v>
      </c>
      <c r="R33" s="152">
        <v>0.39</v>
      </c>
      <c r="S33" s="108"/>
      <c r="U33" s="92">
        <v>6.92</v>
      </c>
      <c r="V33" s="93">
        <v>6.79</v>
      </c>
      <c r="W33" s="94">
        <v>6.43</v>
      </c>
      <c r="Y33" s="89">
        <v>17.1</v>
      </c>
      <c r="Z33" s="95">
        <v>17.6</v>
      </c>
      <c r="AA33" s="91">
        <v>18.4</v>
      </c>
      <c r="AC33" s="92">
        <v>4</v>
      </c>
      <c r="AD33" s="90">
        <v>0</v>
      </c>
      <c r="AE33" s="96">
        <v>0</v>
      </c>
      <c r="AG33" s="45">
        <f t="shared" si="2"/>
        <v>22</v>
      </c>
      <c r="AH33" s="281"/>
      <c r="AI33" s="97"/>
      <c r="AJ33" s="55">
        <f t="shared" si="3"/>
      </c>
      <c r="AK33" s="97"/>
      <c r="AL33" s="55">
        <f t="shared" si="4"/>
      </c>
      <c r="AM33" s="97"/>
      <c r="AN33" s="55">
        <f t="shared" si="5"/>
      </c>
      <c r="AO33" s="109"/>
      <c r="AQ33" s="99"/>
      <c r="AR33" s="55">
        <f t="shared" si="6"/>
      </c>
      <c r="AS33" s="97"/>
      <c r="AT33" s="55">
        <f t="shared" si="7"/>
      </c>
      <c r="AU33" s="97"/>
      <c r="AV33" s="55">
        <f t="shared" si="8"/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273">
        <f>(D47)</f>
        <v>2.377161290322581</v>
      </c>
      <c r="BR33" s="273">
        <f>(D45)</f>
        <v>3.038</v>
      </c>
      <c r="BS33" s="26" t="s">
        <v>127</v>
      </c>
      <c r="BT33" s="26"/>
      <c r="BU33" s="271" t="s">
        <v>150</v>
      </c>
      <c r="BV33" s="271" t="s">
        <v>150</v>
      </c>
      <c r="BW33" s="271" t="s">
        <v>150</v>
      </c>
      <c r="BX33" s="271" t="s">
        <v>150</v>
      </c>
      <c r="BY33" s="26"/>
      <c r="BZ33" s="26">
        <v>0</v>
      </c>
      <c r="CA33" s="75" t="s">
        <v>24</v>
      </c>
      <c r="CB33" s="26" t="s">
        <v>25</v>
      </c>
      <c r="CC33" s="136"/>
      <c r="CJ33" s="338" t="s">
        <v>17</v>
      </c>
      <c r="CK33" s="340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4">
        <v>3001821</v>
      </c>
      <c r="D34" s="137">
        <f t="shared" si="0"/>
        <v>2.816</v>
      </c>
      <c r="E34" s="139">
        <v>4</v>
      </c>
      <c r="F34" s="140">
        <v>0.8</v>
      </c>
      <c r="G34" s="81" t="str">
        <f t="shared" si="1"/>
        <v>0.00</v>
      </c>
      <c r="H34" s="84">
        <v>7500</v>
      </c>
      <c r="I34" s="85">
        <v>5750</v>
      </c>
      <c r="K34" s="86" t="s">
        <v>209</v>
      </c>
      <c r="L34" s="84">
        <v>64</v>
      </c>
      <c r="M34" s="87">
        <v>0.07</v>
      </c>
      <c r="O34" s="106"/>
      <c r="Q34" s="107">
        <v>19</v>
      </c>
      <c r="R34" s="152">
        <v>0.48</v>
      </c>
      <c r="S34" s="108">
        <v>68</v>
      </c>
      <c r="U34" s="92">
        <v>6.88</v>
      </c>
      <c r="V34" s="93">
        <v>6.78</v>
      </c>
      <c r="W34" s="94">
        <v>6.59</v>
      </c>
      <c r="Y34" s="89">
        <v>17.4</v>
      </c>
      <c r="Z34" s="95">
        <v>17.2</v>
      </c>
      <c r="AA34" s="91">
        <v>18.1</v>
      </c>
      <c r="AC34" s="92">
        <v>4</v>
      </c>
      <c r="AD34" s="90">
        <v>0.01</v>
      </c>
      <c r="AE34" s="96">
        <v>0</v>
      </c>
      <c r="AG34" s="45">
        <f t="shared" si="2"/>
        <v>23</v>
      </c>
      <c r="AH34" s="281"/>
      <c r="AI34" s="97"/>
      <c r="AJ34" s="55">
        <f t="shared" si="3"/>
      </c>
      <c r="AK34" s="97"/>
      <c r="AL34" s="55">
        <f t="shared" si="4"/>
      </c>
      <c r="AM34" s="97"/>
      <c r="AN34" s="55">
        <f t="shared" si="5"/>
      </c>
      <c r="AO34" s="109"/>
      <c r="AQ34" s="99"/>
      <c r="AR34" s="55">
        <f t="shared" si="6"/>
      </c>
      <c r="AS34" s="97"/>
      <c r="AT34" s="55">
        <f t="shared" si="7"/>
      </c>
      <c r="AU34" s="97"/>
      <c r="AV34" s="55">
        <f t="shared" si="8"/>
      </c>
      <c r="AX34" s="99">
        <v>59503</v>
      </c>
      <c r="AY34" s="100">
        <v>3</v>
      </c>
      <c r="AZ34" s="101">
        <v>3.75</v>
      </c>
      <c r="BA34" s="97">
        <v>37.2</v>
      </c>
      <c r="BB34" s="101">
        <v>33</v>
      </c>
      <c r="BC34" s="97">
        <v>24</v>
      </c>
      <c r="BD34" s="97">
        <v>1912.5</v>
      </c>
      <c r="BE34" s="102">
        <v>12.18</v>
      </c>
      <c r="BG34" s="99">
        <v>24</v>
      </c>
      <c r="BH34" s="83" t="s">
        <v>223</v>
      </c>
      <c r="BI34" s="103" t="s">
        <v>224</v>
      </c>
      <c r="BK34" s="17"/>
      <c r="BL34" s="19"/>
      <c r="BM34" s="26" t="s">
        <v>86</v>
      </c>
      <c r="BN34" s="20"/>
      <c r="BO34" s="153" t="s">
        <v>131</v>
      </c>
      <c r="BP34" s="26"/>
      <c r="BQ34" s="274">
        <v>3.85</v>
      </c>
      <c r="BR34" s="154" t="s">
        <v>146</v>
      </c>
      <c r="BS34" s="154" t="s">
        <v>127</v>
      </c>
      <c r="BT34" s="26"/>
      <c r="BU34" s="269" t="s">
        <v>150</v>
      </c>
      <c r="BV34" s="269" t="s">
        <v>150</v>
      </c>
      <c r="BW34" s="269" t="s">
        <v>150</v>
      </c>
      <c r="BX34" s="269" t="s">
        <v>150</v>
      </c>
      <c r="BY34" s="26"/>
      <c r="BZ34" s="269" t="s">
        <v>150</v>
      </c>
      <c r="CA34" s="275" t="s">
        <v>24</v>
      </c>
      <c r="CB34" s="154" t="s">
        <v>25</v>
      </c>
      <c r="CC34" s="136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4">
        <v>3004613</v>
      </c>
      <c r="D35" s="137">
        <f t="shared" si="0"/>
        <v>2.792</v>
      </c>
      <c r="E35" s="139">
        <v>4.6</v>
      </c>
      <c r="F35" s="140">
        <v>0.8</v>
      </c>
      <c r="G35" s="81" t="str">
        <f t="shared" si="1"/>
        <v>0.00</v>
      </c>
      <c r="H35" s="84">
        <v>5500</v>
      </c>
      <c r="I35" s="85">
        <v>5000</v>
      </c>
      <c r="K35" s="86" t="s">
        <v>209</v>
      </c>
      <c r="L35" s="84">
        <v>62</v>
      </c>
      <c r="M35" s="87">
        <v>0.02</v>
      </c>
      <c r="O35" s="106"/>
      <c r="Q35" s="107">
        <v>23</v>
      </c>
      <c r="R35" s="152">
        <v>0.4</v>
      </c>
      <c r="S35" s="108">
        <v>77</v>
      </c>
      <c r="U35" s="92">
        <v>6.94</v>
      </c>
      <c r="V35" s="93">
        <v>6.82</v>
      </c>
      <c r="W35" s="94">
        <v>6.61</v>
      </c>
      <c r="Y35" s="89">
        <v>17.9</v>
      </c>
      <c r="Z35" s="95">
        <v>17.3</v>
      </c>
      <c r="AA35" s="91">
        <v>18.4</v>
      </c>
      <c r="AC35" s="92">
        <v>6</v>
      </c>
      <c r="AD35" s="90">
        <v>0.01</v>
      </c>
      <c r="AE35" s="96">
        <v>0</v>
      </c>
      <c r="AG35" s="45">
        <f t="shared" si="2"/>
        <v>24</v>
      </c>
      <c r="AH35" s="281"/>
      <c r="AI35" s="97"/>
      <c r="AJ35" s="55">
        <f t="shared" si="3"/>
      </c>
      <c r="AK35" s="97"/>
      <c r="AL35" s="55">
        <f t="shared" si="4"/>
      </c>
      <c r="AM35" s="97"/>
      <c r="AN35" s="55">
        <f t="shared" si="5"/>
      </c>
      <c r="AO35" s="109"/>
      <c r="AQ35" s="99"/>
      <c r="AR35" s="55">
        <f t="shared" si="6"/>
      </c>
      <c r="AS35" s="97"/>
      <c r="AT35" s="55">
        <f t="shared" si="7"/>
      </c>
      <c r="AU35" s="97"/>
      <c r="AV35" s="55">
        <f t="shared" si="8"/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2">
        <v>3007305</v>
      </c>
      <c r="D36" s="138">
        <f t="shared" si="0"/>
        <v>2.692</v>
      </c>
      <c r="E36" s="141">
        <v>4</v>
      </c>
      <c r="F36" s="142">
        <v>0.7</v>
      </c>
      <c r="G36" s="183" t="str">
        <f t="shared" si="1"/>
        <v>0.00</v>
      </c>
      <c r="H36" s="112">
        <v>3450</v>
      </c>
      <c r="I36" s="113">
        <v>8000</v>
      </c>
      <c r="K36" s="114" t="s">
        <v>209</v>
      </c>
      <c r="L36" s="112">
        <v>61</v>
      </c>
      <c r="M36" s="115">
        <v>0.01</v>
      </c>
      <c r="O36" s="116"/>
      <c r="Q36" s="258">
        <v>20</v>
      </c>
      <c r="R36" s="259">
        <v>0.31</v>
      </c>
      <c r="S36" s="264">
        <v>2</v>
      </c>
      <c r="U36" s="117">
        <v>6.82</v>
      </c>
      <c r="V36" s="118">
        <v>6.86</v>
      </c>
      <c r="W36" s="119">
        <v>6.5</v>
      </c>
      <c r="Y36" s="120">
        <v>17.4</v>
      </c>
      <c r="Z36" s="121">
        <v>17.1</v>
      </c>
      <c r="AA36" s="122">
        <v>18</v>
      </c>
      <c r="AC36" s="117">
        <v>5.5</v>
      </c>
      <c r="AD36" s="123">
        <v>0.01</v>
      </c>
      <c r="AE36" s="124">
        <v>0</v>
      </c>
      <c r="AG36" s="45">
        <f t="shared" si="2"/>
        <v>25</v>
      </c>
      <c r="AH36" s="281"/>
      <c r="AI36" s="125">
        <v>200</v>
      </c>
      <c r="AJ36" s="65">
        <f t="shared" si="3"/>
        <v>4490.256</v>
      </c>
      <c r="AK36" s="125"/>
      <c r="AL36" s="65">
        <f t="shared" si="4"/>
      </c>
      <c r="AM36" s="125">
        <v>9</v>
      </c>
      <c r="AN36" s="65">
        <f t="shared" si="5"/>
        <v>202.06152</v>
      </c>
      <c r="AO36" s="126">
        <v>7</v>
      </c>
      <c r="AQ36" s="127">
        <v>180</v>
      </c>
      <c r="AR36" s="65">
        <f t="shared" si="6"/>
        <v>4041.2304000000004</v>
      </c>
      <c r="AS36" s="125"/>
      <c r="AT36" s="65">
        <f t="shared" si="7"/>
      </c>
      <c r="AU36" s="125">
        <v>14</v>
      </c>
      <c r="AV36" s="65">
        <f t="shared" si="8"/>
        <v>314.31792</v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4">
        <v>3009949</v>
      </c>
      <c r="D37" s="137">
        <f t="shared" si="0"/>
        <v>2.644</v>
      </c>
      <c r="E37" s="139">
        <v>3.8</v>
      </c>
      <c r="F37" s="140">
        <v>0.7</v>
      </c>
      <c r="G37" s="81" t="str">
        <f t="shared" si="1"/>
        <v>0.00</v>
      </c>
      <c r="H37" s="84">
        <v>2050</v>
      </c>
      <c r="I37" s="85">
        <v>7750</v>
      </c>
      <c r="K37" s="86" t="s">
        <v>209</v>
      </c>
      <c r="L37" s="84">
        <v>62</v>
      </c>
      <c r="M37" s="87">
        <v>0.01</v>
      </c>
      <c r="O37" s="106"/>
      <c r="Q37" s="107">
        <v>17</v>
      </c>
      <c r="R37" s="152">
        <v>0.29</v>
      </c>
      <c r="S37" s="108"/>
      <c r="U37" s="92">
        <v>7.01</v>
      </c>
      <c r="V37" s="93">
        <v>6.87</v>
      </c>
      <c r="W37" s="94">
        <v>6.48</v>
      </c>
      <c r="Y37" s="89">
        <v>16.8</v>
      </c>
      <c r="Z37" s="95">
        <v>17.1</v>
      </c>
      <c r="AA37" s="91">
        <v>18.3</v>
      </c>
      <c r="AC37" s="92">
        <v>10</v>
      </c>
      <c r="AD37" s="90">
        <v>0.1</v>
      </c>
      <c r="AE37" s="96">
        <v>0</v>
      </c>
      <c r="AG37" s="45">
        <f t="shared" si="2"/>
        <v>26</v>
      </c>
      <c r="AH37" s="281"/>
      <c r="AI37" s="97">
        <v>210</v>
      </c>
      <c r="AJ37" s="55">
        <f t="shared" si="3"/>
        <v>4630.7016</v>
      </c>
      <c r="AK37" s="97"/>
      <c r="AL37" s="55">
        <f t="shared" si="4"/>
      </c>
      <c r="AM37" s="97">
        <v>9</v>
      </c>
      <c r="AN37" s="55">
        <f t="shared" si="5"/>
        <v>198.45864</v>
      </c>
      <c r="AO37" s="109">
        <v>8</v>
      </c>
      <c r="AQ37" s="99">
        <v>206</v>
      </c>
      <c r="AR37" s="55">
        <f t="shared" si="6"/>
        <v>4542.49776</v>
      </c>
      <c r="AS37" s="97"/>
      <c r="AT37" s="55">
        <f t="shared" si="7"/>
      </c>
      <c r="AU37" s="97">
        <v>17</v>
      </c>
      <c r="AV37" s="55">
        <f t="shared" si="8"/>
        <v>374.86632</v>
      </c>
      <c r="AX37" s="99">
        <v>53512</v>
      </c>
      <c r="AY37" s="100">
        <v>3</v>
      </c>
      <c r="AZ37" s="101">
        <v>3.25</v>
      </c>
      <c r="BA37" s="97">
        <v>37</v>
      </c>
      <c r="BB37" s="101">
        <v>31</v>
      </c>
      <c r="BC37" s="97">
        <v>24</v>
      </c>
      <c r="BD37" s="97">
        <v>1658</v>
      </c>
      <c r="BE37" s="102">
        <v>12.15</v>
      </c>
      <c r="BG37" s="99">
        <v>24</v>
      </c>
      <c r="BH37" s="83" t="s">
        <v>223</v>
      </c>
      <c r="BI37" s="103" t="s">
        <v>224</v>
      </c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8">
        <f>(IF(((SUM(AJ12:AJ42))=0)," ",(((AJ47-(D47*AO47*8.346))/AJ47)*100)))</f>
        <v>96.36319867216201</v>
      </c>
      <c r="CK37" s="349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4">
        <v>3012475</v>
      </c>
      <c r="D38" s="137">
        <f t="shared" si="0"/>
        <v>2.526</v>
      </c>
      <c r="E38" s="139">
        <v>4</v>
      </c>
      <c r="F38" s="140">
        <v>0.7</v>
      </c>
      <c r="G38" s="81" t="str">
        <f t="shared" si="1"/>
        <v>0.00</v>
      </c>
      <c r="H38" s="84">
        <v>2000</v>
      </c>
      <c r="I38" s="85">
        <v>10000</v>
      </c>
      <c r="K38" s="86" t="s">
        <v>209</v>
      </c>
      <c r="L38" s="84">
        <v>67</v>
      </c>
      <c r="M38" s="87">
        <v>0.01</v>
      </c>
      <c r="O38" s="106"/>
      <c r="Q38" s="107">
        <v>20</v>
      </c>
      <c r="R38" s="152">
        <v>0.24</v>
      </c>
      <c r="S38" s="108"/>
      <c r="U38" s="92">
        <v>6.92</v>
      </c>
      <c r="V38" s="93">
        <v>6.86</v>
      </c>
      <c r="W38" s="94">
        <v>6.74</v>
      </c>
      <c r="Y38" s="89">
        <v>17.6</v>
      </c>
      <c r="Z38" s="95">
        <v>17.4</v>
      </c>
      <c r="AA38" s="91">
        <v>18.4</v>
      </c>
      <c r="AC38" s="92">
        <v>6</v>
      </c>
      <c r="AD38" s="90">
        <v>0.01</v>
      </c>
      <c r="AE38" s="96">
        <v>0</v>
      </c>
      <c r="AG38" s="45">
        <f t="shared" si="2"/>
        <v>27</v>
      </c>
      <c r="AH38" s="281"/>
      <c r="AI38" s="97">
        <v>280</v>
      </c>
      <c r="AJ38" s="55">
        <f t="shared" si="3"/>
        <v>5898.7152</v>
      </c>
      <c r="AK38" s="97">
        <v>172</v>
      </c>
      <c r="AL38" s="55">
        <f t="shared" si="4"/>
        <v>3623.49648</v>
      </c>
      <c r="AM38" s="97">
        <v>11</v>
      </c>
      <c r="AN38" s="55">
        <f t="shared" si="5"/>
        <v>231.73523999999998</v>
      </c>
      <c r="AO38" s="109">
        <v>8</v>
      </c>
      <c r="AQ38" s="99">
        <v>310</v>
      </c>
      <c r="AR38" s="55">
        <f t="shared" si="6"/>
        <v>6530.720399999999</v>
      </c>
      <c r="AS38" s="97">
        <v>79</v>
      </c>
      <c r="AT38" s="55">
        <f t="shared" si="7"/>
        <v>1664.2803599999997</v>
      </c>
      <c r="AU38" s="97">
        <v>17</v>
      </c>
      <c r="AV38" s="55">
        <f t="shared" si="8"/>
        <v>358.13627999999994</v>
      </c>
      <c r="AX38" s="99"/>
      <c r="AY38" s="100"/>
      <c r="AZ38" s="101"/>
      <c r="BA38" s="97"/>
      <c r="BB38" s="101"/>
      <c r="BC38" s="97"/>
      <c r="BD38" s="97"/>
      <c r="BE38" s="102"/>
      <c r="BG38" s="99"/>
      <c r="BH38" s="83"/>
      <c r="BI38" s="103"/>
      <c r="BK38" s="17"/>
      <c r="BL38" s="19"/>
      <c r="BM38" s="56" t="s">
        <v>117</v>
      </c>
      <c r="BN38" s="20"/>
      <c r="BO38" s="57" t="s">
        <v>130</v>
      </c>
      <c r="BP38" s="26"/>
      <c r="BQ38" s="271" t="s">
        <v>150</v>
      </c>
      <c r="BR38" s="271" t="s">
        <v>150</v>
      </c>
      <c r="BS38" s="271" t="s">
        <v>150</v>
      </c>
      <c r="BT38" s="26"/>
      <c r="BU38" s="68">
        <f>(AN49)</f>
        <v>95.38434362120884</v>
      </c>
      <c r="BV38" s="271" t="s">
        <v>150</v>
      </c>
      <c r="BW38" s="271" t="s">
        <v>150</v>
      </c>
      <c r="BX38" s="26" t="s">
        <v>129</v>
      </c>
      <c r="BY38" s="26"/>
      <c r="BZ38" s="26">
        <v>0</v>
      </c>
      <c r="CA38" s="266" t="s">
        <v>49</v>
      </c>
      <c r="CB38" s="26" t="s">
        <v>26</v>
      </c>
      <c r="CC38" s="136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4">
        <v>3014934</v>
      </c>
      <c r="D39" s="137">
        <f t="shared" si="0"/>
        <v>2.459</v>
      </c>
      <c r="E39" s="139">
        <v>4</v>
      </c>
      <c r="F39" s="140">
        <v>0.6</v>
      </c>
      <c r="G39" s="81" t="str">
        <f t="shared" si="1"/>
        <v>0.00</v>
      </c>
      <c r="H39" s="84">
        <v>0</v>
      </c>
      <c r="I39" s="85">
        <v>3750</v>
      </c>
      <c r="K39" s="86" t="s">
        <v>209</v>
      </c>
      <c r="L39" s="84">
        <v>75</v>
      </c>
      <c r="M39" s="87">
        <v>0</v>
      </c>
      <c r="O39" s="106"/>
      <c r="Q39" s="107">
        <v>22</v>
      </c>
      <c r="R39" s="152">
        <v>0.39</v>
      </c>
      <c r="S39" s="108"/>
      <c r="U39" s="92">
        <v>6.96</v>
      </c>
      <c r="V39" s="93">
        <v>6.86</v>
      </c>
      <c r="W39" s="94">
        <v>6.51</v>
      </c>
      <c r="Y39" s="89">
        <v>17.7</v>
      </c>
      <c r="Z39" s="95">
        <v>17.6</v>
      </c>
      <c r="AA39" s="91">
        <v>19.3</v>
      </c>
      <c r="AC39" s="92">
        <v>4</v>
      </c>
      <c r="AD39" s="90">
        <v>0.01</v>
      </c>
      <c r="AE39" s="96">
        <v>0</v>
      </c>
      <c r="AG39" s="45">
        <f t="shared" si="2"/>
        <v>28</v>
      </c>
      <c r="AH39" s="281"/>
      <c r="AI39" s="97"/>
      <c r="AJ39" s="55">
        <f t="shared" si="3"/>
      </c>
      <c r="AK39" s="97"/>
      <c r="AL39" s="55">
        <f t="shared" si="4"/>
      </c>
      <c r="AM39" s="97"/>
      <c r="AN39" s="55">
        <f t="shared" si="5"/>
      </c>
      <c r="AO39" s="109"/>
      <c r="AQ39" s="99"/>
      <c r="AR39" s="55">
        <f t="shared" si="6"/>
      </c>
      <c r="AS39" s="97"/>
      <c r="AT39" s="55">
        <f t="shared" si="7"/>
      </c>
      <c r="AU39" s="97"/>
      <c r="AV39" s="55">
        <f t="shared" si="8"/>
      </c>
      <c r="AX39" s="99"/>
      <c r="AY39" s="100"/>
      <c r="AZ39" s="101"/>
      <c r="BA39" s="97"/>
      <c r="BB39" s="101"/>
      <c r="BC39" s="97"/>
      <c r="BD39" s="97"/>
      <c r="BE39" s="102"/>
      <c r="BG39" s="99"/>
      <c r="BH39" s="83"/>
      <c r="BI39" s="103"/>
      <c r="BK39" s="17"/>
      <c r="BL39" s="19"/>
      <c r="BM39" s="26" t="s">
        <v>118</v>
      </c>
      <c r="BN39" s="20"/>
      <c r="BO39" s="153" t="s">
        <v>131</v>
      </c>
      <c r="BP39" s="26"/>
      <c r="BQ39" s="269" t="s">
        <v>150</v>
      </c>
      <c r="BR39" s="269" t="s">
        <v>150</v>
      </c>
      <c r="BS39" s="269" t="s">
        <v>150</v>
      </c>
      <c r="BT39" s="26"/>
      <c r="BU39" s="272">
        <v>85</v>
      </c>
      <c r="BV39" s="269" t="s">
        <v>150</v>
      </c>
      <c r="BW39" s="269" t="s">
        <v>150</v>
      </c>
      <c r="BX39" s="154" t="s">
        <v>129</v>
      </c>
      <c r="BY39" s="26"/>
      <c r="BZ39" s="269" t="s">
        <v>150</v>
      </c>
      <c r="CA39" s="270" t="s">
        <v>49</v>
      </c>
      <c r="CB39" s="154" t="s">
        <v>26</v>
      </c>
      <c r="CC39" s="136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4">
        <v>3017393</v>
      </c>
      <c r="D40" s="137">
        <f t="shared" si="0"/>
        <v>2.459</v>
      </c>
      <c r="E40" s="139">
        <v>3.8</v>
      </c>
      <c r="F40" s="140">
        <v>0.6</v>
      </c>
      <c r="G40" s="81" t="str">
        <f t="shared" si="1"/>
        <v>0.00</v>
      </c>
      <c r="H40" s="84">
        <v>0</v>
      </c>
      <c r="I40" s="85">
        <v>0</v>
      </c>
      <c r="K40" s="86" t="s">
        <v>209</v>
      </c>
      <c r="L40" s="84">
        <v>71</v>
      </c>
      <c r="M40" s="87">
        <v>0</v>
      </c>
      <c r="O40" s="106"/>
      <c r="Q40" s="107">
        <v>21</v>
      </c>
      <c r="R40" s="152">
        <v>0.24</v>
      </c>
      <c r="S40" s="108"/>
      <c r="U40" s="92">
        <v>6.92</v>
      </c>
      <c r="V40" s="93">
        <v>6.84</v>
      </c>
      <c r="W40" s="94">
        <v>6.46</v>
      </c>
      <c r="Y40" s="89">
        <v>17.9</v>
      </c>
      <c r="Z40" s="95">
        <v>17.7</v>
      </c>
      <c r="AA40" s="91">
        <v>18.8</v>
      </c>
      <c r="AC40" s="92">
        <v>5</v>
      </c>
      <c r="AD40" s="90">
        <v>0.01</v>
      </c>
      <c r="AE40" s="96">
        <v>0</v>
      </c>
      <c r="AG40" s="45">
        <f t="shared" si="2"/>
        <v>29</v>
      </c>
      <c r="AH40" s="281"/>
      <c r="AI40" s="97"/>
      <c r="AJ40" s="55">
        <f t="shared" si="3"/>
      </c>
      <c r="AK40" s="97"/>
      <c r="AL40" s="55">
        <f t="shared" si="4"/>
      </c>
      <c r="AM40" s="97"/>
      <c r="AN40" s="55">
        <f t="shared" si="5"/>
      </c>
      <c r="AO40" s="109"/>
      <c r="AQ40" s="99"/>
      <c r="AR40" s="55">
        <f t="shared" si="6"/>
      </c>
      <c r="AS40" s="97"/>
      <c r="AT40" s="55">
        <f t="shared" si="7"/>
      </c>
      <c r="AU40" s="97"/>
      <c r="AV40" s="55">
        <f t="shared" si="8"/>
      </c>
      <c r="AX40" s="99"/>
      <c r="AY40" s="100"/>
      <c r="AZ40" s="101"/>
      <c r="BA40" s="97"/>
      <c r="BB40" s="101"/>
      <c r="BC40" s="97"/>
      <c r="BD40" s="97"/>
      <c r="BE40" s="102"/>
      <c r="BG40" s="99"/>
      <c r="BH40" s="83"/>
      <c r="BI40" s="103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4">
        <v>3019683</v>
      </c>
      <c r="D41" s="137">
        <f t="shared" si="0"/>
        <v>2.29</v>
      </c>
      <c r="E41" s="139">
        <v>4.8</v>
      </c>
      <c r="F41" s="140">
        <v>0.8</v>
      </c>
      <c r="G41" s="81" t="str">
        <f t="shared" si="1"/>
        <v>0.00</v>
      </c>
      <c r="H41" s="84">
        <v>6750</v>
      </c>
      <c r="I41" s="85">
        <v>8500</v>
      </c>
      <c r="K41" s="86" t="s">
        <v>208</v>
      </c>
      <c r="L41" s="84">
        <v>71</v>
      </c>
      <c r="M41" s="87">
        <v>0</v>
      </c>
      <c r="O41" s="106"/>
      <c r="Q41" s="107">
        <v>22</v>
      </c>
      <c r="R41" s="152">
        <v>0.25</v>
      </c>
      <c r="S41" s="108">
        <v>857</v>
      </c>
      <c r="U41" s="92">
        <v>6.83</v>
      </c>
      <c r="V41" s="93">
        <v>6.71</v>
      </c>
      <c r="W41" s="94">
        <v>6.43</v>
      </c>
      <c r="Y41" s="89">
        <v>17.4</v>
      </c>
      <c r="Z41" s="95">
        <v>18</v>
      </c>
      <c r="AA41" s="91">
        <v>19.4</v>
      </c>
      <c r="AC41" s="92">
        <v>8.5</v>
      </c>
      <c r="AD41" s="90">
        <v>0.1</v>
      </c>
      <c r="AE41" s="96">
        <v>0</v>
      </c>
      <c r="AG41" s="45">
        <f t="shared" si="2"/>
        <v>30</v>
      </c>
      <c r="AH41" s="281"/>
      <c r="AI41" s="97"/>
      <c r="AJ41" s="55">
        <f t="shared" si="3"/>
      </c>
      <c r="AK41" s="97"/>
      <c r="AL41" s="55">
        <f t="shared" si="4"/>
      </c>
      <c r="AM41" s="97"/>
      <c r="AN41" s="55">
        <f t="shared" si="5"/>
      </c>
      <c r="AO41" s="109"/>
      <c r="AQ41" s="99"/>
      <c r="AR41" s="55">
        <f t="shared" si="6"/>
      </c>
      <c r="AS41" s="97"/>
      <c r="AT41" s="55">
        <f t="shared" si="7"/>
      </c>
      <c r="AU41" s="97"/>
      <c r="AV41" s="55">
        <f t="shared" si="8"/>
      </c>
      <c r="AX41" s="99">
        <v>48939</v>
      </c>
      <c r="AY41" s="100">
        <v>3</v>
      </c>
      <c r="AZ41" s="101">
        <v>3</v>
      </c>
      <c r="BA41" s="97">
        <v>34.1</v>
      </c>
      <c r="BB41" s="101">
        <v>33</v>
      </c>
      <c r="BC41" s="97">
        <v>24</v>
      </c>
      <c r="BD41" s="97">
        <v>1710</v>
      </c>
      <c r="BE41" s="102">
        <v>12.18</v>
      </c>
      <c r="BG41" s="99">
        <v>12</v>
      </c>
      <c r="BH41" s="83" t="s">
        <v>223</v>
      </c>
      <c r="BI41" s="103" t="s">
        <v>224</v>
      </c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2">
        <v>3022441</v>
      </c>
      <c r="D42" s="138">
        <f t="shared" si="0"/>
        <v>2.758</v>
      </c>
      <c r="E42" s="141">
        <v>3.8</v>
      </c>
      <c r="F42" s="142">
        <v>0.6</v>
      </c>
      <c r="G42" s="183" t="str">
        <f t="shared" si="1"/>
        <v>0.00</v>
      </c>
      <c r="H42" s="112">
        <v>4300</v>
      </c>
      <c r="I42" s="113">
        <v>4500</v>
      </c>
      <c r="K42" s="114" t="s">
        <v>208</v>
      </c>
      <c r="L42" s="112">
        <v>70</v>
      </c>
      <c r="M42" s="115">
        <v>0.01</v>
      </c>
      <c r="O42" s="116"/>
      <c r="Q42" s="258">
        <v>22</v>
      </c>
      <c r="R42" s="259">
        <v>0.32</v>
      </c>
      <c r="S42" s="113">
        <v>5</v>
      </c>
      <c r="U42" s="133">
        <v>7.08</v>
      </c>
      <c r="V42" s="134">
        <v>6.9</v>
      </c>
      <c r="W42" s="135">
        <v>6.55</v>
      </c>
      <c r="Y42" s="132">
        <v>18.1</v>
      </c>
      <c r="Z42" s="112">
        <v>18.4</v>
      </c>
      <c r="AA42" s="113">
        <v>19.7</v>
      </c>
      <c r="AC42" s="133">
        <v>8</v>
      </c>
      <c r="AD42" s="111">
        <v>0.01</v>
      </c>
      <c r="AE42" s="115">
        <v>0</v>
      </c>
      <c r="AG42" s="45">
        <f t="shared" si="2"/>
        <v>31</v>
      </c>
      <c r="AH42" s="281"/>
      <c r="AI42" s="125"/>
      <c r="AJ42" s="65">
        <f t="shared" si="3"/>
      </c>
      <c r="AK42" s="125"/>
      <c r="AL42" s="65">
        <f t="shared" si="4"/>
      </c>
      <c r="AM42" s="125"/>
      <c r="AN42" s="65">
        <f t="shared" si="5"/>
      </c>
      <c r="AO42" s="126"/>
      <c r="AQ42" s="127"/>
      <c r="AR42" s="65">
        <f t="shared" si="6"/>
      </c>
      <c r="AS42" s="125"/>
      <c r="AT42" s="65">
        <f t="shared" si="7"/>
      </c>
      <c r="AU42" s="125"/>
      <c r="AV42" s="65">
        <f t="shared" si="8"/>
      </c>
      <c r="AX42" s="127"/>
      <c r="AY42" s="128"/>
      <c r="AZ42" s="129"/>
      <c r="BA42" s="125"/>
      <c r="BB42" s="129"/>
      <c r="BC42" s="125"/>
      <c r="BD42" s="125"/>
      <c r="BE42" s="130"/>
      <c r="BG42" s="127">
        <v>12</v>
      </c>
      <c r="BH42" s="110" t="s">
        <v>223</v>
      </c>
      <c r="BI42" s="131" t="s">
        <v>224</v>
      </c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1" t="s">
        <v>150</v>
      </c>
      <c r="BR43" s="271" t="s">
        <v>150</v>
      </c>
      <c r="BS43" s="271" t="s">
        <v>150</v>
      </c>
      <c r="BT43" s="26"/>
      <c r="BU43" s="68">
        <f>(AU49)</f>
        <v>91.9609079445145</v>
      </c>
      <c r="BV43" s="271" t="s">
        <v>150</v>
      </c>
      <c r="BW43" s="271" t="s">
        <v>150</v>
      </c>
      <c r="BX43" s="26" t="s">
        <v>129</v>
      </c>
      <c r="BY43" s="26"/>
      <c r="BZ43" s="26">
        <v>0</v>
      </c>
      <c r="CA43" s="266" t="s">
        <v>49</v>
      </c>
      <c r="CB43" s="26" t="s">
        <v>26</v>
      </c>
      <c r="CC43" s="136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8">
        <f>(IF(((SUM(C12:C42))=0)," ",((MAX(C12:C42))-C11)))</f>
        <v>73692</v>
      </c>
      <c r="D44" s="227">
        <f>(IF(((SUM(D12:D42))=0)," ",(SUM(D12:D42))))</f>
        <v>73.69200000000002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111750</v>
      </c>
      <c r="I44" s="195">
        <f>(IF(((SUM(I12:I42))=0)," ",(SUM(I12:I42))))</f>
        <v>161750</v>
      </c>
      <c r="K44" s="199" t="s">
        <v>150</v>
      </c>
      <c r="L44" s="200" t="s">
        <v>150</v>
      </c>
      <c r="M44" s="201">
        <f>(IF(((SUM(M12:M42))=0)," ",(SUM(M11:M42))))</f>
        <v>4.639999999999998</v>
      </c>
      <c r="O44" s="202" t="str">
        <f>(IF(((SUM(O12:O42))=0),"0.0",(SUM(O11:O42))))</f>
        <v>0.0</v>
      </c>
      <c r="Q44" s="198">
        <f>(IF(((SUM(Q12:Q42))=0),"0",(SUM(Q11:Q42))))</f>
        <v>572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481408</v>
      </c>
      <c r="AY44" s="200" t="s">
        <v>150</v>
      </c>
      <c r="AZ44" s="211">
        <f>(IF(((SUM(AZ12:AZ42))=0)," ",(SUM(AZ12:AZ42))))</f>
        <v>30.75</v>
      </c>
      <c r="BA44" s="198">
        <f>(IF(((SUM(BA12:BA42))=0)," ",(SUM(BA12:BA42))))</f>
        <v>291.2</v>
      </c>
      <c r="BB44" s="206" t="s">
        <v>150</v>
      </c>
      <c r="BC44" s="198">
        <f>(IF(((SUM(BC12:BC42))=0)," ",(SUM(BC12:BC42))))</f>
        <v>216</v>
      </c>
      <c r="BD44" s="188">
        <f>(IF(((SUM(BD12:BD42))=0)," ",(SUM(BD12:BD42))))</f>
        <v>15368.5</v>
      </c>
      <c r="BE44" s="209" t="s">
        <v>150</v>
      </c>
      <c r="BG44" s="198">
        <f>(IF(((SUM(BG12:BG42))=0)," ",(SUM(BG12:BG42))))</f>
        <v>216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69" t="s">
        <v>150</v>
      </c>
      <c r="BR44" s="269" t="s">
        <v>150</v>
      </c>
      <c r="BS44" s="269" t="s">
        <v>150</v>
      </c>
      <c r="BT44" s="26"/>
      <c r="BU44" s="272">
        <v>85</v>
      </c>
      <c r="BV44" s="269" t="s">
        <v>150</v>
      </c>
      <c r="BW44" s="269" t="s">
        <v>150</v>
      </c>
      <c r="BX44" s="154" t="s">
        <v>129</v>
      </c>
      <c r="BY44" s="26"/>
      <c r="BZ44" s="269" t="s">
        <v>150</v>
      </c>
      <c r="CA44" s="270" t="s">
        <v>49</v>
      </c>
      <c r="CB44" s="154" t="s">
        <v>26</v>
      </c>
      <c r="CC44" s="136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3.038</v>
      </c>
      <c r="E45" s="215">
        <f>(IF((SUM(E12:E42))=0," ",(MAX(E12:E42))))</f>
        <v>9.5</v>
      </c>
      <c r="F45" s="216">
        <f>(IF((SUM(F12:F42))=0," ",(MAX(F12:F42))))</f>
        <v>0.8</v>
      </c>
      <c r="G45" s="215">
        <f>(MAX(G12:G42))</f>
        <v>0</v>
      </c>
      <c r="H45" s="161">
        <f>(IF((SUM(H12:H42))=0," ",(MAX(H12:H42))))</f>
        <v>10200</v>
      </c>
      <c r="I45" s="162">
        <f>(IF((SUM(I12:I42))=0," ",(MAX(I12:I42))))</f>
        <v>11000</v>
      </c>
      <c r="K45" s="179" t="s">
        <v>150</v>
      </c>
      <c r="L45" s="182">
        <f>(IF((SUM(L12:L42))=0," ",(MAX(L12:L42))))</f>
        <v>75</v>
      </c>
      <c r="M45" s="218">
        <f>(IF((SUM(M12:M42))=0," ",(MAX(M12:M42))))</f>
        <v>1.44</v>
      </c>
      <c r="O45" s="219" t="s">
        <v>150</v>
      </c>
      <c r="Q45" s="220" t="s">
        <v>150</v>
      </c>
      <c r="R45" s="183">
        <f>(IF(((SUM(R12:R42))=0),"-",(MAX(R12:R42))))</f>
        <v>0.48</v>
      </c>
      <c r="S45" s="162">
        <f>(IF(((SUM(S12:S42))=0),"-",(MAX(S12:S42))))</f>
        <v>857</v>
      </c>
      <c r="U45" s="221">
        <f>(IF((SUM(U12:U42))=0," ",(MAX(U12:U42))))</f>
        <v>7.18</v>
      </c>
      <c r="V45" s="182">
        <f>(IF((SUM(V12:V42))=0," ",(MAX(V12:V42))))</f>
        <v>7.02</v>
      </c>
      <c r="W45" s="222">
        <f>(IF((SUM(W12:W42))=0," ",(MAX(W12:W42))))</f>
        <v>6.8</v>
      </c>
      <c r="Y45" s="217">
        <f>(IF((SUM(Y12:Y42))=0," ",(MAX(Y12:Y42))))</f>
        <v>18.9</v>
      </c>
      <c r="Z45" s="161">
        <f>(IF((SUM(Z12:Z42))=0," ",(MAX(Z12:Z42))))</f>
        <v>18.7</v>
      </c>
      <c r="AA45" s="162">
        <f>(IF((SUM(AA12:AA42))=0," ",(MAX(AA12:AA42))))</f>
        <v>19.7</v>
      </c>
      <c r="AC45" s="221">
        <f>(IF((SUM(AC12:AC42))=0," ",(MAX(AC12:AC42))))</f>
        <v>21</v>
      </c>
      <c r="AD45" s="183">
        <f>(IF((SUM(AD12:AD42))=0," ",(MAX(AD12:AD42))))</f>
        <v>0.5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333</v>
      </c>
      <c r="AJ45" s="161">
        <f t="shared" si="9"/>
        <v>6402.0342</v>
      </c>
      <c r="AK45" s="217">
        <f t="shared" si="9"/>
        <v>204</v>
      </c>
      <c r="AL45" s="162">
        <f t="shared" si="9"/>
        <v>4017.8283599999995</v>
      </c>
      <c r="AM45" s="217">
        <f t="shared" si="9"/>
        <v>20</v>
      </c>
      <c r="AN45" s="162">
        <f t="shared" si="9"/>
        <v>371.29679999999996</v>
      </c>
      <c r="AO45" s="223">
        <f t="shared" si="9"/>
        <v>16</v>
      </c>
      <c r="AQ45" s="217">
        <f aca="true" t="shared" si="10" ref="AQ45:AV45">(IF((SUM(AQ12:AQ42))=0," ",(MAX(AQ12:AQ42))))</f>
        <v>346</v>
      </c>
      <c r="AR45" s="162">
        <f t="shared" si="10"/>
        <v>6530.720399999999</v>
      </c>
      <c r="AS45" s="217">
        <f t="shared" si="10"/>
        <v>96</v>
      </c>
      <c r="AT45" s="162">
        <f t="shared" si="10"/>
        <v>1775.0188799999999</v>
      </c>
      <c r="AU45" s="217">
        <f t="shared" si="10"/>
        <v>30</v>
      </c>
      <c r="AV45" s="162">
        <f t="shared" si="10"/>
        <v>556.9452</v>
      </c>
      <c r="AX45" s="220" t="s">
        <v>150</v>
      </c>
      <c r="AY45" s="182">
        <f>(IF((SUM(AY12:AY42))=0," ",(MAX(AY12:AY42))))</f>
        <v>4</v>
      </c>
      <c r="AZ45" s="224" t="s">
        <v>150</v>
      </c>
      <c r="BA45" s="220" t="s">
        <v>150</v>
      </c>
      <c r="BB45" s="222">
        <f>(IF((SUM(BB12:BB42))=0," ",(MAX(BB12:BB42))))</f>
        <v>35</v>
      </c>
      <c r="BC45" s="220" t="s">
        <v>150</v>
      </c>
      <c r="BD45" s="178" t="s">
        <v>150</v>
      </c>
      <c r="BE45" s="218">
        <f>(IF((SUM(BE12:BE42))=0," ",(MAX(BE12:BE42))))</f>
        <v>12.32</v>
      </c>
      <c r="BG45" s="220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2.006</v>
      </c>
      <c r="E46" s="226">
        <f>(IF((SUM(E12:E42))=0," ",(MIN(E12:E42))))</f>
        <v>3.4</v>
      </c>
      <c r="F46" s="227">
        <f>(IF((SUM(F12:F42))=0," ",(MIN(F12:F42))))</f>
        <v>0.6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56</v>
      </c>
      <c r="M46" s="201">
        <f>(IF((SUM(M12:M42))=0," ",(MIN(M12:M42))))</f>
        <v>0</v>
      </c>
      <c r="O46" s="228" t="s">
        <v>150</v>
      </c>
      <c r="Q46" s="207" t="s">
        <v>150</v>
      </c>
      <c r="R46" s="190">
        <f>(IF(((SUM(R12:R42))=0),"-",(MIN(R12:R42))))</f>
        <v>0.19</v>
      </c>
      <c r="S46" s="195">
        <f>(IF(((SUM(S12:S42))=0),"-",(MIN(S12:S42))))</f>
        <v>2</v>
      </c>
      <c r="U46" s="229">
        <f>(IF((SUM(U12:U42))=0," ",(MIN(U12:U42))))</f>
        <v>6.63</v>
      </c>
      <c r="V46" s="191">
        <f>(IF((SUM(V12:V42))=0," ",(MIN(V12:V42))))</f>
        <v>6.71</v>
      </c>
      <c r="W46" s="211">
        <f>(IF((SUM(W12:W42))=0," ",(MIN(W12:W42))))</f>
        <v>6.35</v>
      </c>
      <c r="Y46" s="198">
        <f aca="true" t="shared" si="11" ref="Y46:AD46">(IF((SUM(Y12:Y42))=0," ",(MIN(Y12:Y42))))</f>
        <v>16.5</v>
      </c>
      <c r="Z46" s="188">
        <f t="shared" si="11"/>
        <v>17.1</v>
      </c>
      <c r="AA46" s="195">
        <f t="shared" si="11"/>
        <v>18</v>
      </c>
      <c r="AB46" s="265" t="str">
        <f t="shared" si="11"/>
        <v> </v>
      </c>
      <c r="AC46" s="229">
        <f t="shared" si="11"/>
        <v>2.5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200</v>
      </c>
      <c r="AJ46" s="188">
        <f t="shared" si="12"/>
        <v>4490.256</v>
      </c>
      <c r="AK46" s="198">
        <f t="shared" si="12"/>
        <v>167</v>
      </c>
      <c r="AL46" s="195">
        <f t="shared" si="12"/>
        <v>3366.3492599999995</v>
      </c>
      <c r="AM46" s="198">
        <f t="shared" si="12"/>
        <v>9</v>
      </c>
      <c r="AN46" s="195">
        <f t="shared" si="12"/>
        <v>176.46606</v>
      </c>
      <c r="AO46" s="230">
        <f t="shared" si="12"/>
        <v>7</v>
      </c>
      <c r="AQ46" s="198">
        <f aca="true" t="shared" si="13" ref="AQ46:AV46">(IF((SUM(AQ12:AQ42))=0," ",(MIN(AQ12:AQ42))))</f>
        <v>180</v>
      </c>
      <c r="AR46" s="195">
        <f t="shared" si="13"/>
        <v>4041.2304000000004</v>
      </c>
      <c r="AS46" s="198">
        <f t="shared" si="13"/>
        <v>73</v>
      </c>
      <c r="AT46" s="195">
        <f t="shared" si="13"/>
        <v>1592.4646199999997</v>
      </c>
      <c r="AU46" s="198">
        <f t="shared" si="13"/>
        <v>14</v>
      </c>
      <c r="AV46" s="195">
        <f t="shared" si="13"/>
        <v>314.31792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30</v>
      </c>
      <c r="BC46" s="207" t="s">
        <v>150</v>
      </c>
      <c r="BD46" s="208" t="s">
        <v>150</v>
      </c>
      <c r="BE46" s="201">
        <f>(IF((SUM(BE12:BE42))=0," ",(MIN(BE12:BE42))))</f>
        <v>12.1</v>
      </c>
      <c r="BG46" s="207" t="s">
        <v>150</v>
      </c>
      <c r="BH46" s="213" t="s">
        <v>150</v>
      </c>
      <c r="BI46" s="214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2.377161290322581</v>
      </c>
      <c r="E47" s="215">
        <f>(IF((SUM(E12:E42))=0," ",(AVERAGE(E12:E42))))</f>
        <v>4.232258064516128</v>
      </c>
      <c r="F47" s="216">
        <f>(IF((SUM(F12:F42))=0," ",(AVERAGE(F12:F42))))</f>
        <v>0.6419354838709678</v>
      </c>
      <c r="G47" s="215" t="str">
        <f>(IF((SUM(G12:G42))=0,"0.000",(AVERAGE(G12:G42))))</f>
        <v>0.000</v>
      </c>
      <c r="H47" s="161">
        <f>(IF((SUM(H12:H42))=0," ",(AVERAGE(H12:H42))))</f>
        <v>3604.8387096774195</v>
      </c>
      <c r="I47" s="162">
        <f>(IF((SUM(I12:I42))=0," ",(AVERAGE(I12:I42))))</f>
        <v>5217.741935483871</v>
      </c>
      <c r="K47" s="179" t="s">
        <v>150</v>
      </c>
      <c r="L47" s="182">
        <f>(IF((SUM(L12:L42))=0," ",(AVERAGE(L12:L42))))</f>
        <v>65.93548387096774</v>
      </c>
      <c r="M47" s="218">
        <f>(IF((SUM(M12:M42))=0," ",(AVERAGE(M12:M42))))</f>
        <v>0.14967741935483864</v>
      </c>
      <c r="O47" s="219" t="s">
        <v>150</v>
      </c>
      <c r="Q47" s="217">
        <f>(IF((SUM(Q12:Q42))=0," ",(AVERAGE(Q12:Q42))))</f>
        <v>18.451612903225808</v>
      </c>
      <c r="R47" s="232" t="s">
        <v>150</v>
      </c>
      <c r="S47" s="233" t="s">
        <v>150</v>
      </c>
      <c r="U47" s="221">
        <f>(IF((SUM(U12:U42))=0," ",(AVERAGE(U12:U42))))</f>
        <v>6.958064516129032</v>
      </c>
      <c r="V47" s="182">
        <f>(IF((SUM(V12:V42))=0," ",(AVERAGE(V12:V42))))</f>
        <v>6.86451612903226</v>
      </c>
      <c r="W47" s="222">
        <f>(IF((SUM(W12:W42))=0," ",(AVERAGE(W12:W42))))</f>
        <v>6.542903225806453</v>
      </c>
      <c r="Y47" s="217">
        <f>(IF((SUM(Y12:Y42))=0," ",(AVERAGE(Y12:Y42))))</f>
        <v>17.483870967741932</v>
      </c>
      <c r="Z47" s="161">
        <f>(IF((SUM(Z12:Z42))=0," ",(AVERAGE(Z12:Z42))))</f>
        <v>17.580645161290324</v>
      </c>
      <c r="AA47" s="162">
        <f>(IF((SUM(AA12:AA42))=0," ",(AVERAGE(AA12:AA42))))</f>
        <v>18.809677419354838</v>
      </c>
      <c r="AC47" s="221">
        <f>(IF((SUM(AC12:AC42))=0," ",(AVERAGE(AC12:AC42))))</f>
        <v>6.725806451612903</v>
      </c>
      <c r="AD47" s="183">
        <f>(IF((SUM(AD12:AD42))=0," ",(AVERAGE(AD12:AD42))))</f>
        <v>0.04838709677419356</v>
      </c>
      <c r="AE47" s="218">
        <f>(IF((COUNT(AE12:AE42))=0," ",(AVERAGE(AE12:AE42))))</f>
        <v>0.000967741935483871</v>
      </c>
      <c r="AG47" s="26" t="str">
        <f>($A47)</f>
        <v>Average</v>
      </c>
      <c r="AI47" s="161">
        <f aca="true" t="shared" si="14" ref="AI47:AO47">(IF((SUM(AI12:AI42))=0," ",(AVERAGE(AI12:AI42))))</f>
        <v>276.6666666666667</v>
      </c>
      <c r="AJ47" s="161">
        <f t="shared" si="14"/>
        <v>5409.8244</v>
      </c>
      <c r="AK47" s="217">
        <f t="shared" si="14"/>
        <v>181.25</v>
      </c>
      <c r="AL47" s="162">
        <f t="shared" si="14"/>
        <v>3694.8973049999995</v>
      </c>
      <c r="AM47" s="217">
        <f t="shared" si="14"/>
        <v>12.833333333333334</v>
      </c>
      <c r="AN47" s="162">
        <f t="shared" si="14"/>
        <v>249.698905</v>
      </c>
      <c r="AO47" s="223">
        <f t="shared" si="14"/>
        <v>9.916666666666666</v>
      </c>
      <c r="AQ47" s="217">
        <f aca="true" t="shared" si="15" ref="AQ47:AV47">(IF((SUM(AQ12:AQ42))=0," ",(AVERAGE(AQ12:AQ42))))</f>
        <v>264.3333333333333</v>
      </c>
      <c r="AR47" s="162">
        <f t="shared" si="15"/>
        <v>5150.43789</v>
      </c>
      <c r="AS47" s="217">
        <f t="shared" si="15"/>
        <v>81.75</v>
      </c>
      <c r="AT47" s="162">
        <f t="shared" si="15"/>
        <v>1660.8275999999998</v>
      </c>
      <c r="AU47" s="217">
        <f t="shared" si="15"/>
        <v>21.25</v>
      </c>
      <c r="AV47" s="162">
        <f t="shared" si="15"/>
        <v>413.75018</v>
      </c>
      <c r="AX47" s="217">
        <f aca="true" t="shared" si="16" ref="AX47:BE47">(IF((SUM(AX12:AX42))=0," ",(AVERAGE(AX12:AX42))))</f>
        <v>53489.77777777778</v>
      </c>
      <c r="AY47" s="182">
        <f t="shared" si="16"/>
        <v>3</v>
      </c>
      <c r="AZ47" s="222">
        <f t="shared" si="16"/>
        <v>3.4166666666666665</v>
      </c>
      <c r="BA47" s="217">
        <f t="shared" si="16"/>
        <v>32.355555555555554</v>
      </c>
      <c r="BB47" s="222">
        <f t="shared" si="16"/>
        <v>32.666666666666664</v>
      </c>
      <c r="BC47" s="217">
        <f t="shared" si="16"/>
        <v>24</v>
      </c>
      <c r="BD47" s="161">
        <f t="shared" si="16"/>
        <v>1707.611111111111</v>
      </c>
      <c r="BE47" s="218">
        <f t="shared" si="16"/>
        <v>12.203750000000003</v>
      </c>
      <c r="BG47" s="217">
        <f>(IF((SUM(BG12:BG42))=0," ",(AVERAGE(BG12:BG42))))</f>
        <v>21.6</v>
      </c>
      <c r="BH47" s="180" t="s">
        <v>150</v>
      </c>
      <c r="BI47" s="181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6" t="s">
        <v>203</v>
      </c>
      <c r="BR48" s="271" t="s">
        <v>150</v>
      </c>
      <c r="BS48" s="276" t="s">
        <v>203</v>
      </c>
      <c r="BT48" s="26"/>
      <c r="BU48" s="271" t="s">
        <v>150</v>
      </c>
      <c r="BV48" s="58">
        <f>(S49)</f>
        <v>35.46668871002023</v>
      </c>
      <c r="BW48" s="58">
        <f>(S45)</f>
        <v>857</v>
      </c>
      <c r="BX48" s="271" t="s">
        <v>150</v>
      </c>
      <c r="BY48" s="26"/>
      <c r="BZ48" s="26">
        <v>0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>
        <f>(IF(((SUM(S12:S42))=0),"-",(GEOMEAN(S12:S42))))</f>
        <v>35.46668871002023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95.38434362120884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91.9609079445145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6"/>
      <c r="BL49" s="291"/>
      <c r="BM49" s="104" t="s">
        <v>86</v>
      </c>
      <c r="BN49" s="240"/>
      <c r="BO49" s="292" t="s">
        <v>131</v>
      </c>
      <c r="BP49" s="240"/>
      <c r="BQ49" s="261" t="s">
        <v>203</v>
      </c>
      <c r="BR49" s="237" t="s">
        <v>150</v>
      </c>
      <c r="BS49" s="261" t="s">
        <v>203</v>
      </c>
      <c r="BT49" s="104"/>
      <c r="BU49" s="237" t="s">
        <v>150</v>
      </c>
      <c r="BV49" s="156">
        <v>142</v>
      </c>
      <c r="BW49" s="156">
        <v>949</v>
      </c>
      <c r="BX49" s="263" t="s">
        <v>204</v>
      </c>
      <c r="BY49" s="104"/>
      <c r="BZ49" s="237" t="s">
        <v>150</v>
      </c>
      <c r="CA49" s="160" t="s">
        <v>205</v>
      </c>
      <c r="CB49" s="155" t="s">
        <v>23</v>
      </c>
      <c r="CC49" s="293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6"/>
      <c r="BL50" s="294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6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286"/>
      <c r="B51" s="281"/>
      <c r="C51" s="286"/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 t="s">
        <v>218</v>
      </c>
      <c r="AI51" s="286" t="s">
        <v>227</v>
      </c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302"/>
      <c r="BM52" s="303"/>
      <c r="BN52" s="303"/>
      <c r="BO52" s="303"/>
      <c r="BP52" s="303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5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11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91"/>
      <c r="BM53" s="240" t="s">
        <v>206</v>
      </c>
      <c r="BN53" s="240"/>
      <c r="BO53" s="297" t="s">
        <v>130</v>
      </c>
      <c r="BP53" s="240"/>
      <c r="BQ53" s="262" t="s">
        <v>203</v>
      </c>
      <c r="BR53" s="238" t="s">
        <v>150</v>
      </c>
      <c r="BS53" s="262" t="s">
        <v>203</v>
      </c>
      <c r="BT53" s="104"/>
      <c r="BU53" s="238" t="s">
        <v>150</v>
      </c>
      <c r="BV53" s="238" t="s">
        <v>150</v>
      </c>
      <c r="BW53" s="146">
        <f>(R45)</f>
        <v>0.48</v>
      </c>
      <c r="BX53" s="238" t="s">
        <v>150</v>
      </c>
      <c r="BY53" s="104"/>
      <c r="BZ53" s="104">
        <v>0</v>
      </c>
      <c r="CA53" s="148" t="s">
        <v>207</v>
      </c>
      <c r="CB53" s="104" t="s">
        <v>23</v>
      </c>
      <c r="CC53" s="293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11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91"/>
      <c r="BM54" s="104" t="s">
        <v>86</v>
      </c>
      <c r="BN54" s="240"/>
      <c r="BO54" s="292" t="s">
        <v>131</v>
      </c>
      <c r="BP54" s="240"/>
      <c r="BQ54" s="261" t="s">
        <v>203</v>
      </c>
      <c r="BR54" s="237" t="s">
        <v>150</v>
      </c>
      <c r="BS54" s="261" t="s">
        <v>203</v>
      </c>
      <c r="BT54" s="104"/>
      <c r="BU54" s="237" t="s">
        <v>150</v>
      </c>
      <c r="BV54" s="237" t="s">
        <v>150</v>
      </c>
      <c r="BW54" s="263">
        <v>0.86</v>
      </c>
      <c r="BX54" s="263" t="s">
        <v>44</v>
      </c>
      <c r="BY54" s="104"/>
      <c r="BZ54" s="237" t="s">
        <v>150</v>
      </c>
      <c r="CA54" s="157" t="s">
        <v>207</v>
      </c>
      <c r="CB54" s="155" t="s">
        <v>23</v>
      </c>
      <c r="CC54" s="293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11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94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6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11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11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11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11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11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/>
  <mergeCells count="29"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AC4:AE4"/>
    <mergeCell ref="AC5:AE5"/>
    <mergeCell ref="Q49:R49"/>
    <mergeCell ref="AL49:AM49"/>
    <mergeCell ref="AD51:AE51"/>
    <mergeCell ref="Y5:AA5"/>
    <mergeCell ref="AI5:AO5"/>
    <mergeCell ref="C5:I5"/>
    <mergeCell ref="Q5:S5"/>
    <mergeCell ref="K5:M5"/>
    <mergeCell ref="U5:W5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55" r:id="rId1"/>
  <colBreaks count="2" manualBreakCount="2">
    <brk id="32" max="55" man="1"/>
    <brk id="6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Z72"/>
  <sheetViews>
    <sheetView view="pageBreakPreview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5" customHeight="1"/>
  <cols>
    <col min="1" max="1" width="10.7109375" style="265" customWidth="1"/>
    <col min="2" max="2" width="2.7109375" style="265" customWidth="1"/>
    <col min="3" max="3" width="10.7109375" style="265" customWidth="1"/>
    <col min="4" max="9" width="9.7109375" style="265" customWidth="1"/>
    <col min="10" max="10" width="2.7109375" style="265" customWidth="1"/>
    <col min="11" max="13" width="8.7109375" style="265" customWidth="1"/>
    <col min="14" max="14" width="2.7109375" style="265" customWidth="1"/>
    <col min="15" max="15" width="8.7109375" style="265" customWidth="1"/>
    <col min="16" max="16" width="2.7109375" style="265" customWidth="1"/>
    <col min="17" max="19" width="9.7109375" style="265" customWidth="1"/>
    <col min="20" max="20" width="2.7109375" style="265" customWidth="1"/>
    <col min="21" max="23" width="8.7109375" style="265" customWidth="1"/>
    <col min="24" max="24" width="2.7109375" style="265" customWidth="1"/>
    <col min="25" max="27" width="8.7109375" style="265" customWidth="1"/>
    <col min="28" max="28" width="2.7109375" style="265" customWidth="1"/>
    <col min="29" max="31" width="8.7109375" style="265" customWidth="1"/>
    <col min="32" max="32" width="3.7109375" style="265" customWidth="1"/>
    <col min="33" max="33" width="10.7109375" style="265" customWidth="1"/>
    <col min="34" max="34" width="2.7109375" style="265" customWidth="1"/>
    <col min="35" max="41" width="8.7109375" style="265" customWidth="1"/>
    <col min="42" max="42" width="2.7109375" style="265" customWidth="1"/>
    <col min="43" max="48" width="8.7109375" style="265" customWidth="1"/>
    <col min="49" max="49" width="2.7109375" style="265" customWidth="1"/>
    <col min="50" max="50" width="9.7109375" style="265" customWidth="1"/>
    <col min="51" max="51" width="8.7109375" style="265" customWidth="1"/>
    <col min="52" max="52" width="9.7109375" style="265" customWidth="1"/>
    <col min="53" max="54" width="8.7109375" style="265" customWidth="1"/>
    <col min="55" max="55" width="9.7109375" style="265" customWidth="1"/>
    <col min="56" max="57" width="8.7109375" style="265" customWidth="1"/>
    <col min="58" max="58" width="2.7109375" style="265" customWidth="1"/>
    <col min="59" max="59" width="9.7109375" style="265" customWidth="1"/>
    <col min="60" max="61" width="12.7109375" style="265" customWidth="1"/>
    <col min="62" max="62" width="3.7109375" style="265" customWidth="1"/>
    <col min="63" max="63" width="9.140625" style="265" customWidth="1"/>
    <col min="64" max="64" width="2.7109375" style="265" customWidth="1"/>
    <col min="65" max="65" width="12.7109375" style="265" customWidth="1"/>
    <col min="66" max="66" width="3.7109375" style="265" customWidth="1"/>
    <col min="67" max="67" width="10.7109375" style="265" customWidth="1"/>
    <col min="68" max="68" width="3.7109375" style="265" customWidth="1"/>
    <col min="69" max="71" width="10.7109375" style="265" customWidth="1"/>
    <col min="72" max="72" width="3.7109375" style="265" customWidth="1"/>
    <col min="73" max="76" width="10.7109375" style="265" customWidth="1"/>
    <col min="77" max="77" width="3.7109375" style="265" customWidth="1"/>
    <col min="78" max="80" width="10.7109375" style="265" customWidth="1"/>
    <col min="81" max="81" width="2.7109375" style="265" customWidth="1"/>
    <col min="82" max="82" width="12.7109375" style="265" customWidth="1"/>
    <col min="83" max="83" width="2.7109375" style="265" customWidth="1"/>
    <col min="84" max="86" width="9.7109375" style="265" customWidth="1"/>
    <col min="87" max="87" width="3.7109375" style="265" customWidth="1"/>
    <col min="88" max="89" width="9.7109375" style="265" customWidth="1"/>
    <col min="90" max="90" width="3.7109375" style="265" customWidth="1"/>
    <col min="91" max="91" width="20.7109375" style="265" customWidth="1"/>
    <col min="92" max="92" width="2.7109375" style="265" customWidth="1"/>
    <col min="93" max="93" width="3.7109375" style="265" customWidth="1"/>
    <col min="94" max="16384" width="9.140625" style="265" customWidth="1"/>
  </cols>
  <sheetData>
    <row r="1" spans="1:104" ht="24" customHeight="1">
      <c r="A1" s="6" t="s">
        <v>0</v>
      </c>
      <c r="C1" s="6"/>
      <c r="D1" s="6"/>
      <c r="E1" s="6"/>
      <c r="F1" s="7"/>
      <c r="G1" s="8"/>
      <c r="H1" s="8"/>
      <c r="I1" s="8"/>
      <c r="K1" s="7"/>
      <c r="L1" s="7"/>
      <c r="M1" s="7"/>
      <c r="N1" s="7"/>
      <c r="O1" s="8"/>
      <c r="P1" s="9" t="s">
        <v>148</v>
      </c>
      <c r="Q1" s="8"/>
      <c r="R1" s="7"/>
      <c r="S1" s="7"/>
      <c r="U1" s="8"/>
      <c r="V1" s="8"/>
      <c r="W1" s="8"/>
      <c r="Y1" s="10"/>
      <c r="Z1" s="7"/>
      <c r="AA1" s="10"/>
      <c r="AB1" s="10" t="s">
        <v>89</v>
      </c>
      <c r="AC1" s="10"/>
      <c r="AD1" s="7"/>
      <c r="AE1" s="10" t="s">
        <v>50</v>
      </c>
      <c r="AG1" s="7" t="str">
        <f>($A$1)</f>
        <v>BRUNSWICK SEWER DISTRICT</v>
      </c>
      <c r="AI1" s="7"/>
      <c r="AJ1" s="7"/>
      <c r="AK1" s="7"/>
      <c r="AL1" s="7"/>
      <c r="AM1" s="7"/>
      <c r="AN1" s="7"/>
      <c r="AO1" s="7"/>
      <c r="AQ1" s="7"/>
      <c r="AR1" s="7"/>
      <c r="AS1" s="7"/>
      <c r="AT1" s="7"/>
      <c r="AU1" s="7"/>
      <c r="AV1" s="7"/>
      <c r="AW1" s="9" t="str">
        <f>($P$1)</f>
        <v>State Discharge License Number W 002600-5L-C-R</v>
      </c>
      <c r="AX1" s="7"/>
      <c r="AY1" s="7"/>
      <c r="AZ1" s="7"/>
      <c r="BA1" s="7"/>
      <c r="BB1" s="7"/>
      <c r="BC1" s="7"/>
      <c r="BD1" s="7"/>
      <c r="BE1" s="7"/>
      <c r="BG1" s="7"/>
      <c r="BH1" s="10"/>
      <c r="BI1" s="10"/>
      <c r="BK1" s="7" t="str">
        <f>($A$1)</f>
        <v>BRUNSWICK SEWER DISTRICT</v>
      </c>
      <c r="BM1" s="7"/>
      <c r="BN1" s="7"/>
      <c r="BO1" s="7"/>
      <c r="BP1" s="7"/>
      <c r="BQ1" s="7"/>
      <c r="BR1" s="7"/>
      <c r="BS1" s="11"/>
      <c r="BT1" s="11"/>
      <c r="BU1" s="11"/>
      <c r="BV1" s="11"/>
      <c r="BW1" s="11"/>
      <c r="BX1" s="11"/>
      <c r="BY1" s="11"/>
      <c r="BZ1" s="9" t="str">
        <f>($P$1)</f>
        <v>State Discharge License Number W 002600-5L-C-R</v>
      </c>
      <c r="CA1" s="7"/>
      <c r="CB1" s="7"/>
      <c r="CC1" s="7"/>
      <c r="CE1" s="7"/>
      <c r="CF1" s="7"/>
      <c r="CG1" s="7"/>
      <c r="CH1" s="7"/>
      <c r="CI1" s="7"/>
      <c r="CJ1" s="7"/>
      <c r="CK1" s="7"/>
      <c r="CL1" s="7"/>
      <c r="CM1" s="7"/>
      <c r="CN1" s="7"/>
      <c r="CP1" s="7"/>
      <c r="CQ1" s="7"/>
      <c r="CR1" s="7"/>
      <c r="CS1" s="11"/>
      <c r="CT1" s="11"/>
      <c r="CU1" s="11"/>
      <c r="CV1" s="11"/>
      <c r="CW1" s="11"/>
      <c r="CX1" s="11"/>
      <c r="CY1" s="11"/>
      <c r="CZ1" s="11"/>
    </row>
    <row r="2" spans="1:104" ht="24" customHeight="1">
      <c r="A2" s="6" t="s">
        <v>147</v>
      </c>
      <c r="C2" s="9"/>
      <c r="D2" s="9"/>
      <c r="E2" s="10" t="s">
        <v>198</v>
      </c>
      <c r="F2" s="7"/>
      <c r="G2" s="177">
        <v>2004</v>
      </c>
      <c r="H2" s="8"/>
      <c r="I2" s="7"/>
      <c r="K2" s="8"/>
      <c r="L2" s="8"/>
      <c r="M2" s="7"/>
      <c r="N2" s="7"/>
      <c r="O2" s="8"/>
      <c r="P2" s="9" t="s">
        <v>137</v>
      </c>
      <c r="Q2" s="8"/>
      <c r="R2" s="8"/>
      <c r="S2" s="7"/>
      <c r="U2" s="7"/>
      <c r="V2" s="7"/>
      <c r="W2" s="7"/>
      <c r="Y2" s="7"/>
      <c r="Z2" s="7"/>
      <c r="AA2" s="7"/>
      <c r="AC2" s="7"/>
      <c r="AD2" s="7"/>
      <c r="AE2" s="10" t="s">
        <v>51</v>
      </c>
      <c r="AG2" s="7" t="str">
        <f>($A$2)</f>
        <v>Discharge Monthly Report :</v>
      </c>
      <c r="AI2" s="7"/>
      <c r="AJ2" s="7"/>
      <c r="AK2" s="10" t="str">
        <f>($E$2)</f>
        <v>September</v>
      </c>
      <c r="AL2" s="6">
        <f>($G$2)</f>
        <v>2004</v>
      </c>
      <c r="AM2" s="7"/>
      <c r="AN2" s="7"/>
      <c r="AO2" s="7"/>
      <c r="AQ2" s="7"/>
      <c r="AR2" s="7"/>
      <c r="AS2" s="7"/>
      <c r="AT2" s="7"/>
      <c r="AU2" s="7"/>
      <c r="AV2" s="7"/>
      <c r="AW2" s="9" t="str">
        <f>($P$2)</f>
        <v>N.P.D.E.S. Permit Number ME 0100102</v>
      </c>
      <c r="AX2" s="7"/>
      <c r="AY2" s="7"/>
      <c r="AZ2" s="7"/>
      <c r="BA2" s="7"/>
      <c r="BB2" s="7"/>
      <c r="BC2" s="7"/>
      <c r="BD2" s="7"/>
      <c r="BE2" s="7"/>
      <c r="BG2" s="7"/>
      <c r="BH2" s="341" t="s">
        <v>115</v>
      </c>
      <c r="BI2" s="341"/>
      <c r="BK2" s="7" t="str">
        <f>($A$2)</f>
        <v>Discharge Monthly Report :</v>
      </c>
      <c r="BM2" s="7"/>
      <c r="BN2" s="7"/>
      <c r="BO2" s="7"/>
      <c r="BP2" s="7"/>
      <c r="BQ2" s="10" t="str">
        <f>($E$2)</f>
        <v>September</v>
      </c>
      <c r="BR2" s="6">
        <f>($G$2)</f>
        <v>2004</v>
      </c>
      <c r="BS2" s="11"/>
      <c r="BT2" s="11"/>
      <c r="BU2" s="11"/>
      <c r="BV2" s="11"/>
      <c r="BW2" s="11"/>
      <c r="BX2" s="11"/>
      <c r="BY2" s="11"/>
      <c r="BZ2" s="9" t="str">
        <f>($P$2)</f>
        <v>N.P.D.E.S. Permit Number ME 0100102</v>
      </c>
      <c r="CA2" s="7"/>
      <c r="CB2" s="7"/>
      <c r="CC2" s="7"/>
      <c r="CE2" s="7"/>
      <c r="CF2" s="7"/>
      <c r="CG2" s="7"/>
      <c r="CH2" s="7"/>
      <c r="CI2" s="7"/>
      <c r="CJ2" s="7"/>
      <c r="CK2" s="7"/>
      <c r="CL2" s="341" t="s">
        <v>136</v>
      </c>
      <c r="CM2" s="341"/>
      <c r="CN2" s="10"/>
      <c r="CP2" s="7"/>
      <c r="CQ2" s="7"/>
      <c r="CR2" s="7"/>
      <c r="CS2" s="11"/>
      <c r="CT2" s="11"/>
      <c r="CU2" s="11"/>
      <c r="CV2" s="11"/>
      <c r="CW2" s="11"/>
      <c r="CX2" s="11"/>
      <c r="CY2" s="11"/>
      <c r="CZ2" s="11"/>
    </row>
    <row r="3" spans="1:104" ht="18" customHeight="1">
      <c r="A3" s="12"/>
      <c r="C3" s="12"/>
      <c r="D3" s="12"/>
      <c r="E3" s="13"/>
      <c r="F3" s="14"/>
      <c r="G3" s="14"/>
      <c r="H3" s="14"/>
      <c r="I3" s="13"/>
      <c r="K3" s="14"/>
      <c r="L3" s="14"/>
      <c r="M3" s="13"/>
      <c r="O3" s="14"/>
      <c r="Q3" s="14"/>
      <c r="R3" s="14"/>
      <c r="S3" s="13"/>
      <c r="U3" s="13"/>
      <c r="V3" s="13"/>
      <c r="W3" s="13"/>
      <c r="Y3" s="13"/>
      <c r="Z3" s="13"/>
      <c r="AA3" s="13"/>
      <c r="AC3" s="13"/>
      <c r="AD3" s="13"/>
      <c r="AE3" s="13"/>
      <c r="AG3" s="13"/>
      <c r="AI3" s="13"/>
      <c r="AJ3" s="13"/>
      <c r="AK3" s="13"/>
      <c r="AL3" s="13"/>
      <c r="AM3" s="13"/>
      <c r="AN3" s="13"/>
      <c r="AO3" s="13"/>
      <c r="AQ3" s="13"/>
      <c r="AR3" s="13"/>
      <c r="AS3" s="13"/>
      <c r="AT3" s="13"/>
      <c r="AU3" s="13"/>
      <c r="AV3" s="13"/>
      <c r="AX3" s="13"/>
      <c r="AY3" s="13"/>
      <c r="AZ3" s="13"/>
      <c r="BA3" s="13"/>
      <c r="BB3" s="13"/>
      <c r="BC3" s="13"/>
      <c r="BD3" s="13"/>
      <c r="BE3" s="13"/>
      <c r="BG3" s="13"/>
      <c r="BH3" s="13"/>
      <c r="BI3" s="13"/>
      <c r="CP3"/>
      <c r="CQ3" s="13"/>
      <c r="CR3" s="13"/>
      <c r="CS3" s="11"/>
      <c r="CT3" s="11"/>
      <c r="CU3" s="11"/>
      <c r="CV3" s="11"/>
      <c r="CW3" s="11"/>
      <c r="CX3" s="11"/>
      <c r="CY3" s="11"/>
      <c r="CZ3" s="11"/>
    </row>
    <row r="4" spans="1:104" ht="18" customHeight="1">
      <c r="A4" s="12"/>
      <c r="C4" s="12"/>
      <c r="D4" s="12"/>
      <c r="E4" s="13"/>
      <c r="F4" s="14"/>
      <c r="G4" s="14"/>
      <c r="H4" s="14"/>
      <c r="I4" s="13"/>
      <c r="K4" s="14"/>
      <c r="L4" s="14"/>
      <c r="M4" s="13"/>
      <c r="O4" s="14"/>
      <c r="Q4" s="14"/>
      <c r="R4" s="14"/>
      <c r="S4" s="13"/>
      <c r="U4" s="13"/>
      <c r="V4" s="13"/>
      <c r="W4" s="13"/>
      <c r="Y4" s="13"/>
      <c r="Z4" s="13"/>
      <c r="AA4" s="13"/>
      <c r="AC4" s="328" t="s">
        <v>8</v>
      </c>
      <c r="AD4" s="329"/>
      <c r="AE4" s="330"/>
      <c r="AG4" s="13"/>
      <c r="AI4" s="13"/>
      <c r="AJ4" s="13"/>
      <c r="AK4" s="13"/>
      <c r="AL4" s="13"/>
      <c r="AM4" s="13"/>
      <c r="AN4" s="13"/>
      <c r="AO4" s="13"/>
      <c r="AQ4" s="13"/>
      <c r="AR4" s="13"/>
      <c r="AS4" s="13"/>
      <c r="AT4" s="13"/>
      <c r="AU4" s="13"/>
      <c r="AV4" s="13"/>
      <c r="AX4" s="13"/>
      <c r="AY4" s="13"/>
      <c r="AZ4" s="13"/>
      <c r="BA4" s="13"/>
      <c r="BB4" s="13"/>
      <c r="BC4" s="13"/>
      <c r="BD4" s="13"/>
      <c r="BE4" s="13"/>
      <c r="BG4" s="13"/>
      <c r="BH4" s="13"/>
      <c r="BI4" s="13"/>
      <c r="CP4"/>
      <c r="CQ4" s="13"/>
      <c r="CR4" s="13"/>
      <c r="CS4" s="11"/>
      <c r="CT4" s="11"/>
      <c r="CU4" s="11"/>
      <c r="CV4" s="11"/>
      <c r="CW4" s="11"/>
      <c r="CX4" s="11"/>
      <c r="CY4" s="11"/>
      <c r="CZ4" s="11"/>
    </row>
    <row r="5" spans="1:104" ht="18" customHeight="1">
      <c r="A5" s="13"/>
      <c r="C5" s="325" t="s">
        <v>1</v>
      </c>
      <c r="D5" s="326"/>
      <c r="E5" s="326"/>
      <c r="F5" s="326"/>
      <c r="G5" s="326"/>
      <c r="H5" s="326"/>
      <c r="I5" s="327"/>
      <c r="K5" s="325" t="s">
        <v>3</v>
      </c>
      <c r="L5" s="326"/>
      <c r="M5" s="327"/>
      <c r="O5" s="13"/>
      <c r="Q5" s="325" t="s">
        <v>5</v>
      </c>
      <c r="R5" s="326"/>
      <c r="S5" s="327"/>
      <c r="U5" s="325" t="s">
        <v>6</v>
      </c>
      <c r="V5" s="326"/>
      <c r="W5" s="327"/>
      <c r="Y5" s="325" t="s">
        <v>7</v>
      </c>
      <c r="Z5" s="326"/>
      <c r="AA5" s="327"/>
      <c r="AC5" s="331" t="s">
        <v>9</v>
      </c>
      <c r="AD5" s="332"/>
      <c r="AE5" s="333"/>
      <c r="AG5" s="13"/>
      <c r="AI5" s="325" t="s">
        <v>16</v>
      </c>
      <c r="AJ5" s="326"/>
      <c r="AK5" s="326"/>
      <c r="AL5" s="326"/>
      <c r="AM5" s="326"/>
      <c r="AN5" s="326"/>
      <c r="AO5" s="327"/>
      <c r="AQ5" s="325" t="s">
        <v>18</v>
      </c>
      <c r="AR5" s="326"/>
      <c r="AS5" s="326"/>
      <c r="AT5" s="326"/>
      <c r="AU5" s="326"/>
      <c r="AV5" s="327"/>
      <c r="AX5" s="325" t="s">
        <v>46</v>
      </c>
      <c r="AY5" s="326"/>
      <c r="AZ5" s="326"/>
      <c r="BA5" s="326"/>
      <c r="BB5" s="326"/>
      <c r="BC5" s="326"/>
      <c r="BD5" s="326"/>
      <c r="BE5" s="327"/>
      <c r="BG5" s="325" t="s">
        <v>99</v>
      </c>
      <c r="BH5" s="326"/>
      <c r="BI5" s="327"/>
      <c r="BK5" s="13"/>
      <c r="BM5" s="325" t="s">
        <v>116</v>
      </c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7"/>
      <c r="CE5" s="16"/>
      <c r="CF5" s="326" t="s">
        <v>144</v>
      </c>
      <c r="CG5" s="326"/>
      <c r="CH5" s="326"/>
      <c r="CI5" s="326"/>
      <c r="CJ5" s="326"/>
      <c r="CK5" s="326"/>
      <c r="CL5" s="326"/>
      <c r="CM5" s="326"/>
      <c r="CN5" s="15"/>
      <c r="CP5" s="13"/>
      <c r="CQ5" s="13"/>
      <c r="CR5" s="13"/>
      <c r="CS5" s="11"/>
      <c r="CT5" s="11"/>
      <c r="CU5" s="11"/>
      <c r="CV5" s="11"/>
      <c r="CW5" s="11"/>
      <c r="CX5" s="11"/>
      <c r="CY5" s="11"/>
      <c r="CZ5" s="11"/>
    </row>
    <row r="6" spans="1:104" ht="12" customHeight="1">
      <c r="A6" s="17"/>
      <c r="C6" s="18"/>
      <c r="D6" s="18"/>
      <c r="E6" s="18"/>
      <c r="F6" s="18"/>
      <c r="G6" s="18"/>
      <c r="H6" s="18"/>
      <c r="I6" s="18"/>
      <c r="K6" s="18"/>
      <c r="L6" s="18"/>
      <c r="M6" s="18"/>
      <c r="O6" s="17"/>
      <c r="Q6" s="18"/>
      <c r="R6" s="18"/>
      <c r="S6" s="18"/>
      <c r="U6" s="18"/>
      <c r="V6" s="18"/>
      <c r="W6" s="18"/>
      <c r="Y6" s="18"/>
      <c r="Z6" s="18"/>
      <c r="AA6" s="18"/>
      <c r="AC6" s="18"/>
      <c r="AD6" s="18"/>
      <c r="AE6" s="18"/>
      <c r="AG6" s="17"/>
      <c r="AI6" s="17"/>
      <c r="AJ6" s="17"/>
      <c r="AK6" s="17"/>
      <c r="AL6" s="17"/>
      <c r="AM6" s="17"/>
      <c r="AN6" s="17"/>
      <c r="AO6" s="17"/>
      <c r="AQ6" s="17"/>
      <c r="AR6" s="17"/>
      <c r="AS6" s="17"/>
      <c r="AT6" s="17"/>
      <c r="AU6" s="17"/>
      <c r="AV6" s="17"/>
      <c r="AX6" s="17"/>
      <c r="AY6" s="17"/>
      <c r="AZ6" s="17"/>
      <c r="BA6" s="17"/>
      <c r="BB6" s="17"/>
      <c r="BC6" s="17"/>
      <c r="BD6" s="17"/>
      <c r="BE6" s="17"/>
      <c r="BG6" s="17"/>
      <c r="BH6" s="17"/>
      <c r="BI6" s="17"/>
      <c r="CE6" s="19"/>
      <c r="CF6" s="20"/>
      <c r="CG6" s="20"/>
      <c r="CH6" s="20"/>
      <c r="CI6" s="20"/>
      <c r="CJ6" s="20"/>
      <c r="CK6" s="20"/>
      <c r="CL6" s="20"/>
      <c r="CM6" s="18"/>
      <c r="CN6" s="21"/>
      <c r="CP6" s="17"/>
      <c r="CQ6" s="17"/>
      <c r="CR6" s="17"/>
      <c r="CS6" s="11"/>
      <c r="CT6" s="11"/>
      <c r="CU6" s="11"/>
      <c r="CV6" s="11"/>
      <c r="CW6" s="11"/>
      <c r="CX6" s="11"/>
      <c r="CY6" s="11"/>
      <c r="CZ6" s="11"/>
    </row>
    <row r="7" spans="1:104" ht="18" customHeight="1">
      <c r="A7" s="22"/>
      <c r="C7" s="22"/>
      <c r="D7" s="22" t="s">
        <v>52</v>
      </c>
      <c r="E7" s="22" t="s">
        <v>91</v>
      </c>
      <c r="F7" s="22" t="s">
        <v>92</v>
      </c>
      <c r="G7" s="22"/>
      <c r="H7" s="22"/>
      <c r="I7" s="22"/>
      <c r="K7" s="22"/>
      <c r="L7" s="22"/>
      <c r="M7" s="22"/>
      <c r="O7" s="22"/>
      <c r="Q7" s="22" t="s">
        <v>79</v>
      </c>
      <c r="R7" s="22"/>
      <c r="S7" s="22"/>
      <c r="U7" s="22"/>
      <c r="V7" s="22"/>
      <c r="W7" s="22"/>
      <c r="Y7" s="22"/>
      <c r="Z7" s="22"/>
      <c r="AA7" s="22"/>
      <c r="AC7" s="22"/>
      <c r="AD7" s="22"/>
      <c r="AE7" s="22"/>
      <c r="AG7" s="17"/>
      <c r="AI7" s="17"/>
      <c r="AJ7" s="17"/>
      <c r="AK7" s="17"/>
      <c r="AL7" s="17"/>
      <c r="AM7" s="17"/>
      <c r="AN7" s="17"/>
      <c r="AO7" s="17"/>
      <c r="AQ7" s="17"/>
      <c r="AR7" s="17"/>
      <c r="AS7" s="17"/>
      <c r="AT7" s="17"/>
      <c r="AU7" s="17"/>
      <c r="AV7" s="17"/>
      <c r="AX7" s="17"/>
      <c r="AY7" s="17"/>
      <c r="AZ7" s="17"/>
      <c r="BA7" s="17"/>
      <c r="BB7" s="17"/>
      <c r="BC7" s="17"/>
      <c r="BD7" s="17"/>
      <c r="BE7" s="17"/>
      <c r="BG7" s="17"/>
      <c r="BH7" s="17"/>
      <c r="BI7" s="22" t="s">
        <v>95</v>
      </c>
      <c r="BK7" s="17"/>
      <c r="BM7" s="23"/>
      <c r="BN7" s="23"/>
      <c r="BO7" s="23"/>
      <c r="BP7" s="23"/>
      <c r="BQ7" s="338" t="s">
        <v>19</v>
      </c>
      <c r="BR7" s="339"/>
      <c r="BS7" s="340"/>
      <c r="BT7" s="22"/>
      <c r="BU7" s="338" t="s">
        <v>20</v>
      </c>
      <c r="BV7" s="339"/>
      <c r="BW7" s="339"/>
      <c r="BX7" s="340"/>
      <c r="BY7" s="22"/>
      <c r="BZ7" s="338" t="s">
        <v>135</v>
      </c>
      <c r="CA7" s="339"/>
      <c r="CB7" s="339"/>
      <c r="CC7" s="340"/>
      <c r="CE7" s="24"/>
      <c r="CF7" s="18"/>
      <c r="CG7" s="338" t="s">
        <v>27</v>
      </c>
      <c r="CH7" s="340"/>
      <c r="CI7" s="20"/>
      <c r="CJ7" s="338" t="s">
        <v>21</v>
      </c>
      <c r="CK7" s="340"/>
      <c r="CL7" s="20"/>
      <c r="CM7" s="25" t="s">
        <v>134</v>
      </c>
      <c r="CN7" s="21"/>
      <c r="CP7" s="17"/>
      <c r="CQ7" s="17"/>
      <c r="CR7" s="17"/>
      <c r="CS7" s="11"/>
      <c r="CT7" s="11"/>
      <c r="CU7" s="11"/>
      <c r="CV7" s="11"/>
      <c r="CW7" s="11"/>
      <c r="CX7" s="11"/>
      <c r="CY7" s="11"/>
      <c r="CZ7" s="11"/>
    </row>
    <row r="8" spans="1:104" ht="18" customHeight="1">
      <c r="A8" s="22"/>
      <c r="C8" s="22" t="s">
        <v>55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57</v>
      </c>
      <c r="I8" s="22" t="s">
        <v>58</v>
      </c>
      <c r="K8" s="22"/>
      <c r="L8" s="22" t="s">
        <v>67</v>
      </c>
      <c r="M8" s="22" t="s">
        <v>52</v>
      </c>
      <c r="O8" s="22" t="s">
        <v>69</v>
      </c>
      <c r="Q8" s="22" t="s">
        <v>77</v>
      </c>
      <c r="R8" s="22" t="s">
        <v>80</v>
      </c>
      <c r="S8" s="22"/>
      <c r="U8" s="22"/>
      <c r="V8" s="22"/>
      <c r="W8" s="22"/>
      <c r="Y8" s="22"/>
      <c r="Z8" s="22"/>
      <c r="AA8" s="22"/>
      <c r="AC8" s="22"/>
      <c r="AD8" s="22"/>
      <c r="AE8" s="22"/>
      <c r="AG8" s="22"/>
      <c r="AI8" s="22"/>
      <c r="AJ8" s="22"/>
      <c r="AK8" s="22"/>
      <c r="AL8" s="22"/>
      <c r="AM8" s="22"/>
      <c r="AN8" s="22"/>
      <c r="AO8" s="22" t="s">
        <v>17</v>
      </c>
      <c r="AQ8" s="22"/>
      <c r="AR8" s="22"/>
      <c r="AS8" s="22"/>
      <c r="AT8" s="22"/>
      <c r="AU8" s="22"/>
      <c r="AV8" s="22"/>
      <c r="AX8" s="22" t="s">
        <v>100</v>
      </c>
      <c r="AY8" s="22" t="s">
        <v>103</v>
      </c>
      <c r="AZ8" s="22" t="s">
        <v>105</v>
      </c>
      <c r="BA8" s="22"/>
      <c r="BB8" s="22" t="s">
        <v>108</v>
      </c>
      <c r="BC8" s="22" t="s">
        <v>112</v>
      </c>
      <c r="BD8" s="22" t="s">
        <v>110</v>
      </c>
      <c r="BE8" s="22" t="s">
        <v>67</v>
      </c>
      <c r="BG8" s="22" t="s">
        <v>100</v>
      </c>
      <c r="BH8" s="22"/>
      <c r="BI8" s="22" t="s">
        <v>96</v>
      </c>
      <c r="BK8" s="17"/>
      <c r="BM8" s="23"/>
      <c r="BN8" s="23"/>
      <c r="BO8" s="23"/>
      <c r="BP8" s="23"/>
      <c r="BQ8" s="22" t="s">
        <v>124</v>
      </c>
      <c r="BR8" s="22" t="s">
        <v>125</v>
      </c>
      <c r="BS8" s="22"/>
      <c r="BT8" s="22"/>
      <c r="BU8" s="22" t="s">
        <v>132</v>
      </c>
      <c r="BV8" s="22" t="s">
        <v>133</v>
      </c>
      <c r="BW8" s="22" t="s">
        <v>125</v>
      </c>
      <c r="BX8" s="22"/>
      <c r="BY8" s="22"/>
      <c r="BZ8" s="22"/>
      <c r="CA8" s="22"/>
      <c r="CB8" s="22" t="s">
        <v>120</v>
      </c>
      <c r="CC8" s="22"/>
      <c r="CE8" s="24"/>
      <c r="CF8" s="26"/>
      <c r="CG8" s="18"/>
      <c r="CH8" s="18"/>
      <c r="CI8" s="20"/>
      <c r="CJ8" s="18"/>
      <c r="CK8" s="18"/>
      <c r="CL8" s="20"/>
      <c r="CM8" s="20"/>
      <c r="CN8" s="27"/>
      <c r="CP8" s="17"/>
      <c r="CQ8" s="17"/>
      <c r="CR8" s="17"/>
      <c r="CS8" s="11"/>
      <c r="CT8" s="11"/>
      <c r="CU8" s="11"/>
      <c r="CV8" s="11"/>
      <c r="CW8" s="11"/>
      <c r="CX8" s="11"/>
      <c r="CY8" s="11"/>
      <c r="CZ8" s="11"/>
    </row>
    <row r="9" spans="1:104" ht="18" customHeight="1">
      <c r="A9" s="28" t="s">
        <v>59</v>
      </c>
      <c r="C9" s="28" t="s">
        <v>60</v>
      </c>
      <c r="D9" s="28" t="s">
        <v>61</v>
      </c>
      <c r="E9" s="28" t="s">
        <v>62</v>
      </c>
      <c r="F9" s="28" t="s">
        <v>62</v>
      </c>
      <c r="G9" s="28" t="s">
        <v>63</v>
      </c>
      <c r="H9" s="28" t="s">
        <v>64</v>
      </c>
      <c r="I9" s="28" t="s">
        <v>65</v>
      </c>
      <c r="K9" s="28" t="s">
        <v>66</v>
      </c>
      <c r="L9" s="28" t="s">
        <v>70</v>
      </c>
      <c r="M9" s="28" t="s">
        <v>68</v>
      </c>
      <c r="O9" s="28" t="s">
        <v>71</v>
      </c>
      <c r="Q9" s="28" t="s">
        <v>78</v>
      </c>
      <c r="R9" s="28" t="s">
        <v>81</v>
      </c>
      <c r="S9" s="28" t="s">
        <v>82</v>
      </c>
      <c r="U9" s="28" t="s">
        <v>84</v>
      </c>
      <c r="V9" s="28" t="s">
        <v>85</v>
      </c>
      <c r="W9" s="28" t="s">
        <v>86</v>
      </c>
      <c r="Y9" s="28" t="s">
        <v>84</v>
      </c>
      <c r="Z9" s="28" t="s">
        <v>85</v>
      </c>
      <c r="AA9" s="28" t="s">
        <v>86</v>
      </c>
      <c r="AC9" s="28" t="s">
        <v>84</v>
      </c>
      <c r="AD9" s="28" t="s">
        <v>85</v>
      </c>
      <c r="AE9" s="28" t="s">
        <v>86</v>
      </c>
      <c r="AG9" s="28" t="str">
        <f>($A9)</f>
        <v>Date</v>
      </c>
      <c r="AI9" s="28" t="s">
        <v>84</v>
      </c>
      <c r="AJ9" s="28" t="s">
        <v>84</v>
      </c>
      <c r="AK9" s="28" t="s">
        <v>85</v>
      </c>
      <c r="AL9" s="28" t="s">
        <v>85</v>
      </c>
      <c r="AM9" s="28" t="s">
        <v>86</v>
      </c>
      <c r="AN9" s="28" t="s">
        <v>86</v>
      </c>
      <c r="AO9" s="28" t="s">
        <v>86</v>
      </c>
      <c r="AQ9" s="28" t="s">
        <v>84</v>
      </c>
      <c r="AR9" s="28" t="s">
        <v>84</v>
      </c>
      <c r="AS9" s="28" t="s">
        <v>85</v>
      </c>
      <c r="AT9" s="28" t="s">
        <v>85</v>
      </c>
      <c r="AU9" s="28" t="s">
        <v>86</v>
      </c>
      <c r="AV9" s="28" t="s">
        <v>86</v>
      </c>
      <c r="AX9" s="28" t="s">
        <v>102</v>
      </c>
      <c r="AY9" s="28" t="s">
        <v>104</v>
      </c>
      <c r="AZ9" s="28" t="s">
        <v>106</v>
      </c>
      <c r="BA9" s="28" t="s">
        <v>107</v>
      </c>
      <c r="BB9" s="28" t="s">
        <v>109</v>
      </c>
      <c r="BC9" s="28" t="s">
        <v>102</v>
      </c>
      <c r="BD9" s="28" t="s">
        <v>65</v>
      </c>
      <c r="BE9" s="28" t="s">
        <v>111</v>
      </c>
      <c r="BG9" s="28" t="s">
        <v>101</v>
      </c>
      <c r="BH9" s="28" t="s">
        <v>98</v>
      </c>
      <c r="BI9" s="28" t="s">
        <v>97</v>
      </c>
      <c r="BK9" s="29"/>
      <c r="BM9" s="30"/>
      <c r="BN9" s="30"/>
      <c r="BO9" s="30"/>
      <c r="BP9" s="30"/>
      <c r="BQ9" s="28" t="s">
        <v>67</v>
      </c>
      <c r="BR9" s="28" t="s">
        <v>53</v>
      </c>
      <c r="BS9" s="28" t="s">
        <v>123</v>
      </c>
      <c r="BT9" s="28"/>
      <c r="BU9" s="28" t="s">
        <v>54</v>
      </c>
      <c r="BV9" s="28" t="s">
        <v>67</v>
      </c>
      <c r="BW9" s="28" t="s">
        <v>53</v>
      </c>
      <c r="BX9" s="28" t="s">
        <v>123</v>
      </c>
      <c r="BY9" s="28"/>
      <c r="BZ9" s="28" t="s">
        <v>122</v>
      </c>
      <c r="CA9" s="28" t="s">
        <v>119</v>
      </c>
      <c r="CB9" s="28" t="s">
        <v>121</v>
      </c>
      <c r="CC9" s="28"/>
      <c r="CE9" s="24"/>
      <c r="CF9" s="31"/>
      <c r="CG9" s="346" t="s">
        <v>143</v>
      </c>
      <c r="CH9" s="346"/>
      <c r="CI9" s="20"/>
      <c r="CJ9" s="346" t="s">
        <v>143</v>
      </c>
      <c r="CK9" s="346"/>
      <c r="CL9" s="26"/>
      <c r="CM9" s="32" t="s">
        <v>143</v>
      </c>
      <c r="CN9" s="33"/>
      <c r="CP9" s="17"/>
      <c r="CQ9" s="17"/>
      <c r="CR9" s="17"/>
      <c r="CS9" s="11"/>
      <c r="CT9" s="11"/>
      <c r="CU9" s="11"/>
      <c r="CV9" s="11"/>
      <c r="CW9" s="11"/>
      <c r="CX9" s="11"/>
      <c r="CY9" s="11"/>
      <c r="CZ9" s="11"/>
    </row>
    <row r="10" spans="1:104" ht="18" customHeight="1">
      <c r="A10" s="34"/>
      <c r="C10" s="34"/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73</v>
      </c>
      <c r="I10" s="34" t="s">
        <v>73</v>
      </c>
      <c r="K10" s="34"/>
      <c r="L10" s="34" t="s">
        <v>74</v>
      </c>
      <c r="M10" s="34" t="s">
        <v>75</v>
      </c>
      <c r="O10" s="34" t="s">
        <v>76</v>
      </c>
      <c r="Q10" s="34" t="s">
        <v>73</v>
      </c>
      <c r="R10" s="34" t="s">
        <v>44</v>
      </c>
      <c r="S10" s="34" t="s">
        <v>83</v>
      </c>
      <c r="U10" s="34" t="s">
        <v>43</v>
      </c>
      <c r="V10" s="34" t="s">
        <v>43</v>
      </c>
      <c r="W10" s="34" t="s">
        <v>43</v>
      </c>
      <c r="Y10" s="34" t="s">
        <v>87</v>
      </c>
      <c r="Z10" s="34" t="s">
        <v>87</v>
      </c>
      <c r="AA10" s="34" t="s">
        <v>87</v>
      </c>
      <c r="AC10" s="34" t="s">
        <v>88</v>
      </c>
      <c r="AD10" s="34" t="s">
        <v>88</v>
      </c>
      <c r="AE10" s="34" t="s">
        <v>88</v>
      </c>
      <c r="AG10" s="34"/>
      <c r="AI10" s="34" t="s">
        <v>44</v>
      </c>
      <c r="AJ10" s="34" t="s">
        <v>45</v>
      </c>
      <c r="AK10" s="34" t="s">
        <v>44</v>
      </c>
      <c r="AL10" s="34" t="s">
        <v>45</v>
      </c>
      <c r="AM10" s="34" t="s">
        <v>44</v>
      </c>
      <c r="AN10" s="34" t="s">
        <v>45</v>
      </c>
      <c r="AO10" s="34" t="s">
        <v>44</v>
      </c>
      <c r="AQ10" s="34" t="s">
        <v>44</v>
      </c>
      <c r="AR10" s="34" t="s">
        <v>45</v>
      </c>
      <c r="AS10" s="34" t="s">
        <v>44</v>
      </c>
      <c r="AT10" s="34" t="s">
        <v>45</v>
      </c>
      <c r="AU10" s="34" t="s">
        <v>44</v>
      </c>
      <c r="AV10" s="34" t="s">
        <v>45</v>
      </c>
      <c r="AX10" s="34" t="s">
        <v>73</v>
      </c>
      <c r="AY10" s="34" t="s">
        <v>93</v>
      </c>
      <c r="AZ10" s="34" t="s">
        <v>94</v>
      </c>
      <c r="BA10" s="34" t="s">
        <v>45</v>
      </c>
      <c r="BB10" s="34" t="s">
        <v>93</v>
      </c>
      <c r="BC10" s="34" t="s">
        <v>76</v>
      </c>
      <c r="BD10" s="34" t="s">
        <v>45</v>
      </c>
      <c r="BE10" s="34" t="s">
        <v>43</v>
      </c>
      <c r="BG10" s="34" t="s">
        <v>76</v>
      </c>
      <c r="BH10" s="34"/>
      <c r="BI10" s="34"/>
      <c r="CE10" s="36"/>
      <c r="CF10" s="37"/>
      <c r="CG10" s="38" t="s">
        <v>128</v>
      </c>
      <c r="CH10" s="38" t="s">
        <v>126</v>
      </c>
      <c r="CI10" s="37"/>
      <c r="CJ10" s="38" t="s">
        <v>128</v>
      </c>
      <c r="CK10" s="38" t="s">
        <v>126</v>
      </c>
      <c r="CL10" s="39"/>
      <c r="CM10" s="40" t="s">
        <v>128</v>
      </c>
      <c r="CN10" s="41"/>
      <c r="CP10" s="35"/>
      <c r="CQ10" s="35"/>
      <c r="CR10" s="17"/>
      <c r="CS10" s="11"/>
      <c r="CT10" s="11"/>
      <c r="CU10" s="11"/>
      <c r="CV10" s="11"/>
      <c r="CW10" s="11"/>
      <c r="CX10" s="11"/>
      <c r="CY10" s="11"/>
      <c r="CZ10" s="11"/>
    </row>
    <row r="11" spans="1:104" ht="18" customHeight="1">
      <c r="A11" s="22"/>
      <c r="B11" s="11"/>
      <c r="C11" s="150">
        <v>3022441</v>
      </c>
      <c r="D11" s="42"/>
      <c r="E11" s="43"/>
      <c r="F11" s="43"/>
      <c r="G11" s="43"/>
      <c r="H11" s="43"/>
      <c r="I11" s="43"/>
      <c r="J11" s="11"/>
      <c r="K11" s="43"/>
      <c r="L11" s="43"/>
      <c r="M11" s="43"/>
      <c r="N11" s="11"/>
      <c r="O11" s="43"/>
      <c r="P11" s="11"/>
      <c r="Q11" s="44"/>
      <c r="R11" s="44"/>
      <c r="S11" s="44"/>
      <c r="T11" s="11"/>
      <c r="U11" s="44"/>
      <c r="V11" s="44"/>
      <c r="W11" s="44"/>
      <c r="X11" s="11"/>
      <c r="Y11" s="44"/>
      <c r="Z11" s="44"/>
      <c r="AA11" s="44"/>
      <c r="AB11" s="11"/>
      <c r="AC11" s="44"/>
      <c r="AD11" s="44"/>
      <c r="AE11" s="44"/>
      <c r="AF11" s="11"/>
      <c r="AG11" s="45"/>
      <c r="AH11" s="11"/>
      <c r="AI11" s="46"/>
      <c r="AJ11" s="46"/>
      <c r="AK11" s="46"/>
      <c r="AL11" s="46"/>
      <c r="AM11" s="46"/>
      <c r="AN11" s="46"/>
      <c r="AO11" s="46"/>
      <c r="AP11" s="11"/>
      <c r="AQ11" s="46"/>
      <c r="AR11" s="46"/>
      <c r="AS11" s="46"/>
      <c r="AT11" s="46"/>
      <c r="AU11" s="46"/>
      <c r="AV11" s="46"/>
      <c r="AW11" s="11"/>
      <c r="AX11" s="46"/>
      <c r="AY11" s="47"/>
      <c r="AZ11" s="47"/>
      <c r="BA11" s="46"/>
      <c r="BB11" s="47"/>
      <c r="BC11" s="46"/>
      <c r="BD11" s="46"/>
      <c r="BE11" s="48"/>
      <c r="BF11" s="11"/>
      <c r="BG11" s="46"/>
      <c r="BH11" s="43"/>
      <c r="BI11" s="43"/>
      <c r="BJ11" s="11"/>
      <c r="BK11" s="17"/>
      <c r="BL11" s="49"/>
      <c r="BM11" s="50"/>
      <c r="BN11" s="50"/>
      <c r="BO11" s="50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2"/>
      <c r="CE11" s="19"/>
      <c r="CF11" s="20"/>
      <c r="CG11" s="20"/>
      <c r="CH11" s="38"/>
      <c r="CI11" s="20"/>
      <c r="CJ11" s="20"/>
      <c r="CK11" s="20"/>
      <c r="CL11" s="53"/>
      <c r="CM11" s="53"/>
      <c r="CN11" s="54"/>
      <c r="CP11" s="17"/>
      <c r="CQ11" s="17"/>
      <c r="CR11" s="17"/>
      <c r="CS11" s="11"/>
      <c r="CT11" s="11"/>
      <c r="CU11" s="11"/>
      <c r="CV11" s="11"/>
      <c r="CW11" s="11"/>
      <c r="CX11" s="11"/>
      <c r="CY11" s="11"/>
      <c r="CZ11" s="11"/>
    </row>
    <row r="12" spans="1:104" ht="18" customHeight="1">
      <c r="A12" s="22">
        <v>1</v>
      </c>
      <c r="B12" s="11"/>
      <c r="C12" s="84">
        <v>3024987</v>
      </c>
      <c r="D12" s="137">
        <f aca="true" t="shared" si="0" ref="D12:D42">(IF(C12=0," ",((C12-C11)/1000)))</f>
        <v>2.546</v>
      </c>
      <c r="E12" s="139">
        <v>4.4</v>
      </c>
      <c r="F12" s="140">
        <v>0.6</v>
      </c>
      <c r="G12" s="81" t="str">
        <f aca="true" t="shared" si="1" ref="G12:G42">(IF(C12=0," ","0.00"))</f>
        <v>0.00</v>
      </c>
      <c r="H12" s="84">
        <v>3500</v>
      </c>
      <c r="I12" s="85">
        <v>7750</v>
      </c>
      <c r="J12" s="11"/>
      <c r="K12" s="86" t="s">
        <v>209</v>
      </c>
      <c r="L12" s="84">
        <v>68</v>
      </c>
      <c r="M12" s="87">
        <v>0</v>
      </c>
      <c r="N12" s="11"/>
      <c r="O12" s="88"/>
      <c r="P12" s="11"/>
      <c r="Q12" s="107">
        <v>19</v>
      </c>
      <c r="R12" s="152">
        <v>0.31</v>
      </c>
      <c r="S12" s="108">
        <v>6</v>
      </c>
      <c r="T12" s="11"/>
      <c r="U12" s="92">
        <v>7.01</v>
      </c>
      <c r="V12" s="93">
        <v>6.9</v>
      </c>
      <c r="W12" s="94">
        <v>6.43</v>
      </c>
      <c r="X12" s="11"/>
      <c r="Y12" s="89">
        <v>17.8</v>
      </c>
      <c r="Z12" s="95">
        <v>17.8</v>
      </c>
      <c r="AA12" s="91">
        <v>19.1</v>
      </c>
      <c r="AB12" s="11"/>
      <c r="AC12" s="92">
        <v>7</v>
      </c>
      <c r="AD12" s="90">
        <v>0.01</v>
      </c>
      <c r="AE12" s="96">
        <v>0</v>
      </c>
      <c r="AF12" s="11"/>
      <c r="AG12" s="45">
        <f aca="true" t="shared" si="2" ref="AG12:AG42">($A12)</f>
        <v>1</v>
      </c>
      <c r="AH12" s="282"/>
      <c r="AI12" s="97">
        <v>265</v>
      </c>
      <c r="AJ12" s="55">
        <f aca="true" t="shared" si="3" ref="AJ12:AJ42">IF(AI12=0,"",(D12*AI12*8.34))</f>
        <v>5626.914599999999</v>
      </c>
      <c r="AK12" s="97"/>
      <c r="AL12" s="55">
        <f aca="true" t="shared" si="4" ref="AL12:AL42">IF(AK12=0,"",(D12*AK12*8.34))</f>
      </c>
      <c r="AM12" s="97">
        <v>13</v>
      </c>
      <c r="AN12" s="55">
        <f aca="true" t="shared" si="5" ref="AN12:AN42">IF(AM12=0,"",(D12*AM12*8.34))</f>
        <v>276.03731999999997</v>
      </c>
      <c r="AO12" s="98">
        <v>11</v>
      </c>
      <c r="AP12" s="11"/>
      <c r="AQ12" s="99">
        <v>192</v>
      </c>
      <c r="AR12" s="55">
        <f aca="true" t="shared" si="6" ref="AR12:AR42">IF(AQ12=0,"",(D12*AQ12*8.34))</f>
        <v>4076.8588799999998</v>
      </c>
      <c r="AS12" s="97"/>
      <c r="AT12" s="55">
        <f aca="true" t="shared" si="7" ref="AT12:AT42">IF(AS12=0,"",(D12*AS12*8.34))</f>
      </c>
      <c r="AU12" s="97">
        <v>22</v>
      </c>
      <c r="AV12" s="55">
        <f aca="true" t="shared" si="8" ref="AV12:AV42">IF(AU12=0,"",(D12*AU12*8.34))</f>
        <v>467.14007999999995</v>
      </c>
      <c r="AW12" s="11"/>
      <c r="AX12" s="99"/>
      <c r="AY12" s="100"/>
      <c r="AZ12" s="101"/>
      <c r="BA12" s="97"/>
      <c r="BB12" s="101"/>
      <c r="BC12" s="97"/>
      <c r="BD12" s="97"/>
      <c r="BE12" s="102"/>
      <c r="BF12" s="11"/>
      <c r="BG12" s="99"/>
      <c r="BH12" s="83"/>
      <c r="BI12" s="103"/>
      <c r="BJ12" s="11"/>
      <c r="BK12" s="17"/>
      <c r="BL12" s="19"/>
      <c r="BM12" s="56" t="s">
        <v>117</v>
      </c>
      <c r="BN12" s="20"/>
      <c r="BO12" s="57" t="s">
        <v>130</v>
      </c>
      <c r="BP12" s="26"/>
      <c r="BQ12" s="185">
        <f>(IF(((SUM(AN12:AN42))=0)," ",(AVERAGE(AN12:AN42))))</f>
        <v>304.9949914285714</v>
      </c>
      <c r="BR12" s="185">
        <f>MAX(AN12:AN42)</f>
        <v>410.35302</v>
      </c>
      <c r="BS12" s="26" t="s">
        <v>126</v>
      </c>
      <c r="BT12" s="26"/>
      <c r="BU12" s="185">
        <f>(IF(((SUM(AM12:AM42))=0)," ",(AVERAGE(AM12:AM42))))</f>
        <v>14.642857142857142</v>
      </c>
      <c r="BV12" s="58">
        <f>(CG23)</f>
        <v>17.333333333333332</v>
      </c>
      <c r="BW12" s="185">
        <f>MAX(AM12:AM42)</f>
        <v>21</v>
      </c>
      <c r="BX12" s="26" t="s">
        <v>128</v>
      </c>
      <c r="BY12" s="26"/>
      <c r="BZ12" s="26">
        <v>0</v>
      </c>
      <c r="CA12" s="266" t="s">
        <v>47</v>
      </c>
      <c r="CB12" s="26">
        <v>24</v>
      </c>
      <c r="CC12" s="136"/>
      <c r="CE12" s="24"/>
      <c r="CF12" s="20" t="s">
        <v>138</v>
      </c>
      <c r="CG12" s="105">
        <f>(IF(((SUM(AM12:AM18))=0)," ",(AVERAGE(AM12:AM18))))</f>
        <v>13</v>
      </c>
      <c r="CH12" s="105">
        <f>(IF(((SUM(AN12:AN18))=0)," ",(AVERAGE(AN12:AN18))))</f>
        <v>274.73627999999997</v>
      </c>
      <c r="CI12" s="279"/>
      <c r="CJ12" s="105">
        <f>(IF(((SUM(AU12:AU18))=0)," ",(AVERAGE(AU12:AU18))))</f>
        <v>23.666666666666668</v>
      </c>
      <c r="CK12" s="105">
        <f>(IF(((SUM(AV12:AV18))=0)," ",(AVERAGE(AV12:AV18))))</f>
        <v>499.41031999999996</v>
      </c>
      <c r="CL12" s="53"/>
      <c r="CM12" s="151">
        <f>(AVERAGE(AE12:AE17))</f>
        <v>0</v>
      </c>
      <c r="CN12" s="59"/>
      <c r="CP12" s="17"/>
      <c r="CQ12" s="17" t="s">
        <v>149</v>
      </c>
      <c r="CR12" s="17"/>
      <c r="CS12" s="11"/>
      <c r="CT12" s="11"/>
      <c r="CU12" s="11"/>
      <c r="CV12" s="11"/>
      <c r="CW12" s="11"/>
      <c r="CX12" s="11"/>
      <c r="CY12" s="11"/>
      <c r="CZ12" s="11"/>
    </row>
    <row r="13" spans="1:104" ht="18" customHeight="1">
      <c r="A13" s="22">
        <v>2</v>
      </c>
      <c r="B13" s="11"/>
      <c r="C13" s="84">
        <v>3027595</v>
      </c>
      <c r="D13" s="137">
        <f t="shared" si="0"/>
        <v>2.608</v>
      </c>
      <c r="E13" s="139">
        <v>4.4</v>
      </c>
      <c r="F13" s="140">
        <v>0.6</v>
      </c>
      <c r="G13" s="81" t="str">
        <f t="shared" si="1"/>
        <v>0.00</v>
      </c>
      <c r="H13" s="84">
        <v>3700</v>
      </c>
      <c r="I13" s="85">
        <v>8250</v>
      </c>
      <c r="J13" s="11"/>
      <c r="K13" s="86" t="s">
        <v>209</v>
      </c>
      <c r="L13" s="84">
        <v>59</v>
      </c>
      <c r="M13" s="87">
        <v>0</v>
      </c>
      <c r="N13" s="11"/>
      <c r="O13" s="106"/>
      <c r="P13" s="11"/>
      <c r="Q13" s="107">
        <v>19</v>
      </c>
      <c r="R13" s="152">
        <v>0.31</v>
      </c>
      <c r="S13" s="108"/>
      <c r="T13" s="11"/>
      <c r="U13" s="92">
        <v>7.09</v>
      </c>
      <c r="V13" s="93">
        <v>6.93</v>
      </c>
      <c r="W13" s="94">
        <v>6.44</v>
      </c>
      <c r="X13" s="11"/>
      <c r="Y13" s="89">
        <v>17.4</v>
      </c>
      <c r="Z13" s="95">
        <v>17.6</v>
      </c>
      <c r="AA13" s="91">
        <v>18.5</v>
      </c>
      <c r="AB13" s="11"/>
      <c r="AC13" s="92">
        <v>6</v>
      </c>
      <c r="AD13" s="90">
        <v>0.1</v>
      </c>
      <c r="AE13" s="96">
        <v>0</v>
      </c>
      <c r="AF13" s="11"/>
      <c r="AG13" s="45">
        <f t="shared" si="2"/>
        <v>2</v>
      </c>
      <c r="AH13" s="282"/>
      <c r="AI13" s="97">
        <v>217</v>
      </c>
      <c r="AJ13" s="55">
        <f t="shared" si="3"/>
        <v>4719.90624</v>
      </c>
      <c r="AK13" s="97"/>
      <c r="AL13" s="55">
        <f t="shared" si="4"/>
      </c>
      <c r="AM13" s="97">
        <v>13</v>
      </c>
      <c r="AN13" s="55">
        <f t="shared" si="5"/>
        <v>282.75936</v>
      </c>
      <c r="AO13" s="109">
        <v>9</v>
      </c>
      <c r="AP13" s="11"/>
      <c r="AQ13" s="99">
        <v>208</v>
      </c>
      <c r="AR13" s="55">
        <f t="shared" si="6"/>
        <v>4524.14976</v>
      </c>
      <c r="AS13" s="97"/>
      <c r="AT13" s="55">
        <f t="shared" si="7"/>
      </c>
      <c r="AU13" s="97">
        <v>23</v>
      </c>
      <c r="AV13" s="55">
        <f t="shared" si="8"/>
        <v>500.26656</v>
      </c>
      <c r="AW13" s="11"/>
      <c r="AX13" s="99">
        <v>50573</v>
      </c>
      <c r="AY13" s="100">
        <v>2</v>
      </c>
      <c r="AZ13" s="101">
        <v>3.25</v>
      </c>
      <c r="BA13" s="97">
        <v>37.2</v>
      </c>
      <c r="BB13" s="101">
        <v>30</v>
      </c>
      <c r="BC13" s="97">
        <v>24</v>
      </c>
      <c r="BD13" s="97">
        <v>1755</v>
      </c>
      <c r="BE13" s="102">
        <v>12.4</v>
      </c>
      <c r="BF13" s="11"/>
      <c r="BG13" s="99">
        <v>24</v>
      </c>
      <c r="BH13" s="83" t="s">
        <v>223</v>
      </c>
      <c r="BI13" s="103" t="s">
        <v>224</v>
      </c>
      <c r="BJ13" s="11"/>
      <c r="BK13" s="17"/>
      <c r="BL13" s="19"/>
      <c r="BM13" s="26" t="s">
        <v>86</v>
      </c>
      <c r="BN13" s="20"/>
      <c r="BO13" s="153" t="s">
        <v>131</v>
      </c>
      <c r="BP13" s="26"/>
      <c r="BQ13" s="267">
        <v>963</v>
      </c>
      <c r="BR13" s="267">
        <v>1605</v>
      </c>
      <c r="BS13" s="154" t="s">
        <v>126</v>
      </c>
      <c r="BT13" s="26"/>
      <c r="BU13" s="267">
        <v>30</v>
      </c>
      <c r="BV13" s="268">
        <v>45</v>
      </c>
      <c r="BW13" s="267">
        <v>50</v>
      </c>
      <c r="BX13" s="154" t="s">
        <v>128</v>
      </c>
      <c r="BY13" s="26"/>
      <c r="BZ13" s="269" t="s">
        <v>150</v>
      </c>
      <c r="CA13" s="270" t="s">
        <v>47</v>
      </c>
      <c r="CB13" s="154">
        <v>24</v>
      </c>
      <c r="CC13" s="136"/>
      <c r="CE13" s="24"/>
      <c r="CF13" s="20"/>
      <c r="CG13" s="279"/>
      <c r="CH13" s="279"/>
      <c r="CI13" s="279"/>
      <c r="CJ13" s="279"/>
      <c r="CK13" s="279"/>
      <c r="CL13" s="53"/>
      <c r="CM13" s="280"/>
      <c r="CN13" s="59"/>
      <c r="CP13" s="17"/>
      <c r="CQ13" s="17"/>
      <c r="CR13" s="17"/>
      <c r="CS13" s="11"/>
      <c r="CT13" s="11"/>
      <c r="CU13" s="11"/>
      <c r="CV13" s="11"/>
      <c r="CW13" s="11"/>
      <c r="CX13" s="11"/>
      <c r="CY13" s="11"/>
      <c r="CZ13" s="11"/>
    </row>
    <row r="14" spans="1:104" ht="18" customHeight="1">
      <c r="A14" s="22">
        <v>3</v>
      </c>
      <c r="C14" s="84">
        <v>3030043</v>
      </c>
      <c r="D14" s="137">
        <f t="shared" si="0"/>
        <v>2.448</v>
      </c>
      <c r="E14" s="139">
        <v>4.3</v>
      </c>
      <c r="F14" s="140">
        <v>0.6</v>
      </c>
      <c r="G14" s="81" t="str">
        <f t="shared" si="1"/>
        <v>0.00</v>
      </c>
      <c r="H14" s="84">
        <v>1500</v>
      </c>
      <c r="I14" s="85">
        <v>8250</v>
      </c>
      <c r="K14" s="86" t="s">
        <v>209</v>
      </c>
      <c r="L14" s="84">
        <v>63</v>
      </c>
      <c r="M14" s="87">
        <v>0</v>
      </c>
      <c r="O14" s="106"/>
      <c r="Q14" s="107">
        <v>19</v>
      </c>
      <c r="R14" s="152">
        <v>0.28</v>
      </c>
      <c r="S14" s="108"/>
      <c r="U14" s="92">
        <v>7.15</v>
      </c>
      <c r="V14" s="93">
        <v>6.91</v>
      </c>
      <c r="W14" s="94">
        <v>6.67</v>
      </c>
      <c r="Y14" s="89">
        <v>18</v>
      </c>
      <c r="Z14" s="95">
        <v>17.5</v>
      </c>
      <c r="AA14" s="91">
        <v>18.6</v>
      </c>
      <c r="AC14" s="92">
        <v>11</v>
      </c>
      <c r="AD14" s="90">
        <v>0.01</v>
      </c>
      <c r="AE14" s="96">
        <v>0</v>
      </c>
      <c r="AG14" s="45">
        <f t="shared" si="2"/>
        <v>3</v>
      </c>
      <c r="AH14" s="281"/>
      <c r="AI14" s="97">
        <v>292</v>
      </c>
      <c r="AJ14" s="55">
        <f t="shared" si="3"/>
        <v>5961.56544</v>
      </c>
      <c r="AK14" s="97">
        <v>183</v>
      </c>
      <c r="AL14" s="55">
        <f t="shared" si="4"/>
        <v>3736.1865599999996</v>
      </c>
      <c r="AM14" s="97">
        <v>13</v>
      </c>
      <c r="AN14" s="55">
        <f t="shared" si="5"/>
        <v>265.41216</v>
      </c>
      <c r="AO14" s="109">
        <v>10</v>
      </c>
      <c r="AQ14" s="99">
        <v>292</v>
      </c>
      <c r="AR14" s="55">
        <f t="shared" si="6"/>
        <v>5961.56544</v>
      </c>
      <c r="AS14" s="97">
        <v>85</v>
      </c>
      <c r="AT14" s="55">
        <f t="shared" si="7"/>
        <v>1735.3872</v>
      </c>
      <c r="AU14" s="97">
        <v>26</v>
      </c>
      <c r="AV14" s="55">
        <f t="shared" si="8"/>
        <v>530.82432</v>
      </c>
      <c r="AX14" s="99"/>
      <c r="AY14" s="100"/>
      <c r="AZ14" s="101"/>
      <c r="BA14" s="97"/>
      <c r="BB14" s="101"/>
      <c r="BC14" s="97"/>
      <c r="BD14" s="97"/>
      <c r="BE14" s="102"/>
      <c r="BG14" s="99"/>
      <c r="BH14" s="83"/>
      <c r="BI14" s="103"/>
      <c r="BK14" s="17"/>
      <c r="BL14" s="61"/>
      <c r="BM14" s="44"/>
      <c r="BN14" s="44"/>
      <c r="BO14" s="44"/>
      <c r="BP14" s="44"/>
      <c r="BQ14" s="62"/>
      <c r="BR14" s="62"/>
      <c r="BS14" s="43"/>
      <c r="BT14" s="43"/>
      <c r="BU14" s="43"/>
      <c r="BV14" s="43"/>
      <c r="BW14" s="43"/>
      <c r="BX14" s="43"/>
      <c r="BY14" s="43"/>
      <c r="BZ14" s="43"/>
      <c r="CA14" s="63"/>
      <c r="CB14" s="43"/>
      <c r="CC14" s="64"/>
      <c r="CE14" s="24"/>
      <c r="CF14" s="20" t="s">
        <v>139</v>
      </c>
      <c r="CG14" s="105">
        <f>(IF(((SUM(AM19:AM25))=0)," ",(AVERAGE(AM19:AM25))))</f>
        <v>14.333333333333334</v>
      </c>
      <c r="CH14" s="105">
        <f>(IF(((SUM(AN19:AN25))=0)," ",(AVERAGE(AN19:AN25))))</f>
        <v>308.70509999999996</v>
      </c>
      <c r="CI14" s="279"/>
      <c r="CJ14" s="105">
        <f>(IF(((SUM(AU19:AU25))=0)," ",(AVERAGE(AU19:AU25))))</f>
        <v>25.666666666666668</v>
      </c>
      <c r="CK14" s="105">
        <f>(IF(((SUM(AV19:AV25))=0)," ",(AVERAGE(AV19:AV25))))</f>
        <v>554.65448</v>
      </c>
      <c r="CL14" s="53"/>
      <c r="CM14" s="151">
        <f>(AVERAGE(AE18:AE24))</f>
        <v>0.002857142857142857</v>
      </c>
      <c r="CN14" s="59"/>
      <c r="CP14" s="17"/>
      <c r="CQ14" s="17" t="s">
        <v>151</v>
      </c>
      <c r="CR14" s="17"/>
      <c r="CS14" s="11"/>
      <c r="CT14" s="11"/>
      <c r="CU14" s="11"/>
      <c r="CV14" s="11"/>
      <c r="CW14" s="11"/>
      <c r="CX14" s="11"/>
      <c r="CY14" s="11"/>
      <c r="CZ14" s="11"/>
    </row>
    <row r="15" spans="1:104" ht="18" customHeight="1">
      <c r="A15" s="22">
        <v>4</v>
      </c>
      <c r="C15" s="84">
        <v>3032460</v>
      </c>
      <c r="D15" s="137">
        <f t="shared" si="0"/>
        <v>2.417</v>
      </c>
      <c r="E15" s="139">
        <v>3.8</v>
      </c>
      <c r="F15" s="140">
        <v>0.6</v>
      </c>
      <c r="G15" s="81" t="str">
        <f t="shared" si="1"/>
        <v>0.00</v>
      </c>
      <c r="H15" s="84">
        <v>0</v>
      </c>
      <c r="I15" s="85">
        <v>2000</v>
      </c>
      <c r="K15" s="86" t="s">
        <v>209</v>
      </c>
      <c r="L15" s="84">
        <v>67</v>
      </c>
      <c r="M15" s="87">
        <v>0.01</v>
      </c>
      <c r="O15" s="106"/>
      <c r="Q15" s="107">
        <v>19</v>
      </c>
      <c r="R15" s="152">
        <v>0.18</v>
      </c>
      <c r="S15" s="108"/>
      <c r="U15" s="92">
        <v>6.66</v>
      </c>
      <c r="V15" s="93">
        <v>6.82</v>
      </c>
      <c r="W15" s="94">
        <v>6.36</v>
      </c>
      <c r="Y15" s="89">
        <v>17.6</v>
      </c>
      <c r="Z15" s="95">
        <v>17.9</v>
      </c>
      <c r="AA15" s="91">
        <v>19.4</v>
      </c>
      <c r="AC15" s="92">
        <v>7</v>
      </c>
      <c r="AD15" s="90">
        <v>0.01</v>
      </c>
      <c r="AE15" s="96">
        <v>0</v>
      </c>
      <c r="AG15" s="45">
        <f t="shared" si="2"/>
        <v>4</v>
      </c>
      <c r="AH15" s="281"/>
      <c r="AI15" s="97"/>
      <c r="AJ15" s="55">
        <f t="shared" si="3"/>
      </c>
      <c r="AK15" s="97"/>
      <c r="AL15" s="55">
        <f t="shared" si="4"/>
      </c>
      <c r="AM15" s="97"/>
      <c r="AN15" s="55">
        <f t="shared" si="5"/>
      </c>
      <c r="AO15" s="109"/>
      <c r="AQ15" s="99"/>
      <c r="AR15" s="55">
        <f t="shared" si="6"/>
      </c>
      <c r="AS15" s="97"/>
      <c r="AT15" s="55">
        <f t="shared" si="7"/>
      </c>
      <c r="AU15" s="97"/>
      <c r="AV15" s="55">
        <f t="shared" si="8"/>
      </c>
      <c r="AX15" s="99"/>
      <c r="AY15" s="100"/>
      <c r="AZ15" s="101"/>
      <c r="BA15" s="97"/>
      <c r="BB15" s="101"/>
      <c r="BC15" s="97"/>
      <c r="BD15" s="97"/>
      <c r="BE15" s="102"/>
      <c r="BG15" s="99"/>
      <c r="BH15" s="83"/>
      <c r="BI15" s="103"/>
      <c r="CE15" s="24"/>
      <c r="CF15" s="20"/>
      <c r="CG15" s="279"/>
      <c r="CH15" s="279"/>
      <c r="CI15" s="279"/>
      <c r="CJ15" s="279"/>
      <c r="CK15" s="279"/>
      <c r="CL15" s="53"/>
      <c r="CM15" s="280"/>
      <c r="CN15" s="59"/>
      <c r="CP15" s="17"/>
      <c r="CQ15" s="17"/>
      <c r="CR15" s="17"/>
      <c r="CS15" s="11"/>
      <c r="CT15" s="11"/>
      <c r="CU15" s="11"/>
      <c r="CV15" s="11"/>
      <c r="CW15" s="11"/>
      <c r="CX15" s="11"/>
      <c r="CY15" s="11"/>
      <c r="CZ15" s="11"/>
    </row>
    <row r="16" spans="1:104" ht="18" customHeight="1">
      <c r="A16" s="22">
        <v>5</v>
      </c>
      <c r="C16" s="112">
        <v>3034653</v>
      </c>
      <c r="D16" s="138">
        <f t="shared" si="0"/>
        <v>2.193</v>
      </c>
      <c r="E16" s="141">
        <v>3.8</v>
      </c>
      <c r="F16" s="142">
        <v>0.6</v>
      </c>
      <c r="G16" s="183" t="str">
        <f t="shared" si="1"/>
        <v>0.00</v>
      </c>
      <c r="H16" s="112">
        <v>0</v>
      </c>
      <c r="I16" s="113">
        <v>0</v>
      </c>
      <c r="K16" s="114" t="s">
        <v>209</v>
      </c>
      <c r="L16" s="112">
        <v>57</v>
      </c>
      <c r="M16" s="115">
        <v>0</v>
      </c>
      <c r="O16" s="116"/>
      <c r="Q16" s="258">
        <v>17</v>
      </c>
      <c r="R16" s="259">
        <v>0.23</v>
      </c>
      <c r="S16" s="264"/>
      <c r="U16" s="117">
        <v>6.82</v>
      </c>
      <c r="V16" s="118">
        <v>6.81</v>
      </c>
      <c r="W16" s="119">
        <v>6.45</v>
      </c>
      <c r="Y16" s="120">
        <v>16.9</v>
      </c>
      <c r="Z16" s="121">
        <v>17.4</v>
      </c>
      <c r="AA16" s="122">
        <v>18.6</v>
      </c>
      <c r="AC16" s="117">
        <v>3.5</v>
      </c>
      <c r="AD16" s="123">
        <v>0.01</v>
      </c>
      <c r="AE16" s="124">
        <v>0</v>
      </c>
      <c r="AG16" s="45">
        <f t="shared" si="2"/>
        <v>5</v>
      </c>
      <c r="AH16" s="281"/>
      <c r="AI16" s="125"/>
      <c r="AJ16" s="65">
        <f t="shared" si="3"/>
      </c>
      <c r="AK16" s="125"/>
      <c r="AL16" s="65">
        <f t="shared" si="4"/>
      </c>
      <c r="AM16" s="125"/>
      <c r="AN16" s="65">
        <f t="shared" si="5"/>
      </c>
      <c r="AO16" s="126"/>
      <c r="AQ16" s="127"/>
      <c r="AR16" s="65">
        <f t="shared" si="6"/>
      </c>
      <c r="AS16" s="125"/>
      <c r="AT16" s="65">
        <f t="shared" si="7"/>
      </c>
      <c r="AU16" s="125"/>
      <c r="AV16" s="65">
        <f t="shared" si="8"/>
      </c>
      <c r="AX16" s="127"/>
      <c r="AY16" s="128"/>
      <c r="AZ16" s="129"/>
      <c r="BA16" s="125"/>
      <c r="BB16" s="129"/>
      <c r="BC16" s="125"/>
      <c r="BD16" s="125"/>
      <c r="BE16" s="130"/>
      <c r="BG16" s="127"/>
      <c r="BH16" s="110"/>
      <c r="BI16" s="131"/>
      <c r="BK16" s="17"/>
      <c r="BL16" s="49"/>
      <c r="BM16" s="51"/>
      <c r="BN16" s="50"/>
      <c r="BO16" s="51"/>
      <c r="BP16" s="51"/>
      <c r="BQ16" s="66"/>
      <c r="BR16" s="66"/>
      <c r="BS16" s="51"/>
      <c r="BT16" s="51"/>
      <c r="BU16" s="51"/>
      <c r="BV16" s="51"/>
      <c r="BW16" s="51"/>
      <c r="BX16" s="51"/>
      <c r="BY16" s="51"/>
      <c r="BZ16" s="51"/>
      <c r="CA16" s="67"/>
      <c r="CB16" s="51"/>
      <c r="CC16" s="52"/>
      <c r="CE16" s="24"/>
      <c r="CF16" s="20" t="s">
        <v>140</v>
      </c>
      <c r="CG16" s="105">
        <f>(IF(((SUM(AM26:AM32))=0)," ",(AVERAGE(AM26:AM32))))</f>
        <v>17.333333333333332</v>
      </c>
      <c r="CH16" s="105">
        <f>(IF(((SUM(AN26:AN32))=0)," ",(AVERAGE(AN26:AN32))))</f>
        <v>343.53849999999994</v>
      </c>
      <c r="CI16" s="279"/>
      <c r="CJ16" s="105">
        <f>(IF(((SUM(AU26:AU32))=0)," ",(AVERAGE(AU26:AU32))))</f>
        <v>27.666666666666668</v>
      </c>
      <c r="CK16" s="105">
        <f>(IF(((SUM(AV26:AV32))=0)," ",(AVERAGE(AV26:AV32))))</f>
        <v>548.71362</v>
      </c>
      <c r="CL16" s="53"/>
      <c r="CM16" s="151">
        <f>(AVERAGE(AE25:AE31))</f>
        <v>0</v>
      </c>
      <c r="CN16" s="59"/>
      <c r="CP16" s="17"/>
      <c r="CQ16" s="17"/>
      <c r="CR16" s="17"/>
      <c r="CS16" s="11"/>
      <c r="CT16" s="11"/>
      <c r="CU16" s="11"/>
      <c r="CV16" s="11"/>
      <c r="CW16" s="11"/>
      <c r="CX16" s="11"/>
      <c r="CY16" s="11"/>
      <c r="CZ16" s="11"/>
    </row>
    <row r="17" spans="1:104" ht="18" customHeight="1">
      <c r="A17" s="22">
        <v>6</v>
      </c>
      <c r="C17" s="84">
        <v>3036795</v>
      </c>
      <c r="D17" s="137">
        <f t="shared" si="0"/>
        <v>2.142</v>
      </c>
      <c r="E17" s="139">
        <v>3.8</v>
      </c>
      <c r="F17" s="140">
        <v>0.6</v>
      </c>
      <c r="G17" s="81" t="str">
        <f t="shared" si="1"/>
        <v>0.00</v>
      </c>
      <c r="H17" s="84">
        <v>0</v>
      </c>
      <c r="I17" s="85">
        <v>0</v>
      </c>
      <c r="K17" s="86" t="s">
        <v>209</v>
      </c>
      <c r="L17" s="84">
        <v>58</v>
      </c>
      <c r="M17" s="87">
        <v>0</v>
      </c>
      <c r="O17" s="106"/>
      <c r="Q17" s="107">
        <v>16</v>
      </c>
      <c r="R17" s="152">
        <v>0.18</v>
      </c>
      <c r="S17" s="108"/>
      <c r="U17" s="92">
        <v>6.88</v>
      </c>
      <c r="V17" s="93">
        <v>6.83</v>
      </c>
      <c r="W17" s="94">
        <v>6.5</v>
      </c>
      <c r="Y17" s="89">
        <v>16.5</v>
      </c>
      <c r="Z17" s="95">
        <v>17</v>
      </c>
      <c r="AA17" s="91">
        <v>17.7</v>
      </c>
      <c r="AC17" s="92">
        <v>3</v>
      </c>
      <c r="AD17" s="90">
        <v>0.01</v>
      </c>
      <c r="AE17" s="96">
        <v>0</v>
      </c>
      <c r="AG17" s="45">
        <f t="shared" si="2"/>
        <v>6</v>
      </c>
      <c r="AH17" s="281"/>
      <c r="AI17" s="97"/>
      <c r="AJ17" s="55">
        <f t="shared" si="3"/>
      </c>
      <c r="AK17" s="97"/>
      <c r="AL17" s="55">
        <f t="shared" si="4"/>
      </c>
      <c r="AM17" s="97"/>
      <c r="AN17" s="55">
        <f t="shared" si="5"/>
      </c>
      <c r="AO17" s="109"/>
      <c r="AQ17" s="99"/>
      <c r="AR17" s="55">
        <f t="shared" si="6"/>
      </c>
      <c r="AS17" s="97"/>
      <c r="AT17" s="55">
        <f t="shared" si="7"/>
      </c>
      <c r="AU17" s="97"/>
      <c r="AV17" s="55">
        <f t="shared" si="8"/>
      </c>
      <c r="AX17" s="99"/>
      <c r="AY17" s="100"/>
      <c r="AZ17" s="101"/>
      <c r="BA17" s="97"/>
      <c r="BB17" s="101"/>
      <c r="BC17" s="97"/>
      <c r="BD17" s="97"/>
      <c r="BE17" s="102"/>
      <c r="BG17" s="99"/>
      <c r="BH17" s="83"/>
      <c r="BI17" s="103"/>
      <c r="BK17" s="17"/>
      <c r="BL17" s="19"/>
      <c r="BM17" s="56" t="s">
        <v>111</v>
      </c>
      <c r="BN17" s="20"/>
      <c r="BO17" s="57" t="s">
        <v>130</v>
      </c>
      <c r="BP17" s="26"/>
      <c r="BQ17" s="271" t="s">
        <v>150</v>
      </c>
      <c r="BR17" s="271" t="s">
        <v>150</v>
      </c>
      <c r="BS17" s="271" t="s">
        <v>150</v>
      </c>
      <c r="BT17" s="26"/>
      <c r="BU17" s="68">
        <f>MIN(W12:W42)</f>
        <v>6.22</v>
      </c>
      <c r="BV17" s="271" t="s">
        <v>150</v>
      </c>
      <c r="BW17" s="68">
        <f>MAX(W12:W42)</f>
        <v>6.85</v>
      </c>
      <c r="BX17" s="26" t="s">
        <v>43</v>
      </c>
      <c r="BY17" s="26"/>
      <c r="BZ17" s="26">
        <v>0</v>
      </c>
      <c r="CA17" s="266" t="s">
        <v>48</v>
      </c>
      <c r="CB17" s="26" t="s">
        <v>23</v>
      </c>
      <c r="CC17" s="136"/>
      <c r="CE17" s="69"/>
      <c r="CF17" s="20"/>
      <c r="CG17" s="279"/>
      <c r="CH17" s="279"/>
      <c r="CI17" s="279"/>
      <c r="CJ17" s="279"/>
      <c r="CK17" s="279"/>
      <c r="CL17" s="20"/>
      <c r="CM17" s="280"/>
      <c r="CN17" s="59"/>
      <c r="CP17" s="17"/>
      <c r="CQ17" s="17"/>
      <c r="CR17" s="17"/>
      <c r="CS17" s="11"/>
      <c r="CT17" s="11"/>
      <c r="CU17" s="11"/>
      <c r="CV17" s="11"/>
      <c r="CW17" s="11"/>
      <c r="CX17" s="11"/>
      <c r="CY17" s="11"/>
      <c r="CZ17" s="11"/>
    </row>
    <row r="18" spans="1:104" ht="18" customHeight="1">
      <c r="A18" s="22">
        <v>7</v>
      </c>
      <c r="C18" s="84">
        <v>3039047</v>
      </c>
      <c r="D18" s="137">
        <f t="shared" si="0"/>
        <v>2.252</v>
      </c>
      <c r="E18" s="139">
        <v>4.4</v>
      </c>
      <c r="F18" s="140">
        <v>0.6</v>
      </c>
      <c r="G18" s="81" t="str">
        <f t="shared" si="1"/>
        <v>0.00</v>
      </c>
      <c r="H18" s="84">
        <v>1000</v>
      </c>
      <c r="I18" s="85">
        <v>8000</v>
      </c>
      <c r="K18" s="86" t="s">
        <v>209</v>
      </c>
      <c r="L18" s="84">
        <v>64</v>
      </c>
      <c r="M18" s="87">
        <v>0</v>
      </c>
      <c r="O18" s="106"/>
      <c r="Q18" s="107">
        <v>17</v>
      </c>
      <c r="R18" s="152">
        <v>0.33</v>
      </c>
      <c r="S18" s="108">
        <v>28</v>
      </c>
      <c r="U18" s="92">
        <v>7.01</v>
      </c>
      <c r="V18" s="93">
        <v>6.83</v>
      </c>
      <c r="W18" s="94">
        <v>6.68</v>
      </c>
      <c r="Y18" s="89">
        <v>18.1</v>
      </c>
      <c r="Z18" s="95">
        <v>17.9</v>
      </c>
      <c r="AA18" s="91">
        <v>18.8</v>
      </c>
      <c r="AC18" s="92">
        <v>10</v>
      </c>
      <c r="AD18" s="90">
        <v>0.01</v>
      </c>
      <c r="AE18" s="96">
        <v>0</v>
      </c>
      <c r="AG18" s="45">
        <f t="shared" si="2"/>
        <v>7</v>
      </c>
      <c r="AH18" s="281"/>
      <c r="AI18" s="97"/>
      <c r="AJ18" s="55">
        <f t="shared" si="3"/>
      </c>
      <c r="AK18" s="97"/>
      <c r="AL18" s="55">
        <f t="shared" si="4"/>
      </c>
      <c r="AM18" s="97"/>
      <c r="AN18" s="55">
        <f t="shared" si="5"/>
      </c>
      <c r="AO18" s="109"/>
      <c r="AQ18" s="99"/>
      <c r="AR18" s="55">
        <f t="shared" si="6"/>
      </c>
      <c r="AS18" s="97"/>
      <c r="AT18" s="55">
        <f t="shared" si="7"/>
      </c>
      <c r="AU18" s="97"/>
      <c r="AV18" s="55">
        <f t="shared" si="8"/>
      </c>
      <c r="AX18" s="99">
        <v>48028</v>
      </c>
      <c r="AY18" s="100">
        <v>5</v>
      </c>
      <c r="AZ18" s="101">
        <v>3.25</v>
      </c>
      <c r="BA18" s="97">
        <v>31</v>
      </c>
      <c r="BB18" s="101">
        <v>34</v>
      </c>
      <c r="BC18" s="97">
        <v>24</v>
      </c>
      <c r="BD18" s="97">
        <v>2047.5</v>
      </c>
      <c r="BE18" s="102">
        <v>12.33</v>
      </c>
      <c r="BG18" s="99">
        <v>24</v>
      </c>
      <c r="BH18" s="83" t="s">
        <v>223</v>
      </c>
      <c r="BI18" s="103" t="s">
        <v>224</v>
      </c>
      <c r="BK18" s="17"/>
      <c r="BL18" s="19"/>
      <c r="BM18" s="26" t="s">
        <v>86</v>
      </c>
      <c r="BN18" s="20"/>
      <c r="BO18" s="153" t="s">
        <v>131</v>
      </c>
      <c r="BP18" s="26"/>
      <c r="BQ18" s="269" t="s">
        <v>150</v>
      </c>
      <c r="BR18" s="269" t="s">
        <v>150</v>
      </c>
      <c r="BS18" s="269" t="s">
        <v>150</v>
      </c>
      <c r="BT18" s="26"/>
      <c r="BU18" s="272">
        <v>6</v>
      </c>
      <c r="BV18" s="269" t="s">
        <v>150</v>
      </c>
      <c r="BW18" s="154">
        <v>8.5</v>
      </c>
      <c r="BX18" s="154" t="s">
        <v>43</v>
      </c>
      <c r="BY18" s="26"/>
      <c r="BZ18" s="269" t="s">
        <v>150</v>
      </c>
      <c r="CA18" s="270" t="s">
        <v>48</v>
      </c>
      <c r="CB18" s="154" t="s">
        <v>23</v>
      </c>
      <c r="CC18" s="136"/>
      <c r="CE18" s="69"/>
      <c r="CF18" s="20" t="s">
        <v>141</v>
      </c>
      <c r="CG18" s="105">
        <f>(IF(((SUM(AM33:AM39))=0)," ",(AVERAGE(AM33:AM39))))</f>
        <v>17</v>
      </c>
      <c r="CH18" s="105">
        <f>(IF(((SUM(AN33:AN39))=0)," ",(AVERAGE(AN33:AN39))))</f>
        <v>367.08788000000004</v>
      </c>
      <c r="CI18" s="279"/>
      <c r="CJ18" s="105">
        <f>(IF(((SUM(AU33:AU39))=0)," ",(AVERAGE(AU33:AU39))))</f>
        <v>25.666666666666668</v>
      </c>
      <c r="CK18" s="105">
        <f>(IF(((SUM(AV33:AV39))=0)," ",(AVERAGE(AV33:AV39))))</f>
        <v>554.22914</v>
      </c>
      <c r="CL18" s="20"/>
      <c r="CM18" s="151">
        <f>(AVERAGE(AE32:AE38))</f>
        <v>0.0014285714285714286</v>
      </c>
      <c r="CN18" s="59"/>
      <c r="CP18" s="17"/>
      <c r="CQ18" s="17"/>
      <c r="CR18" s="17"/>
      <c r="CS18" s="11"/>
      <c r="CT18" s="11"/>
      <c r="CU18" s="11"/>
      <c r="CV18" s="11"/>
      <c r="CW18" s="11"/>
      <c r="CX18" s="11"/>
      <c r="CY18" s="11"/>
      <c r="CZ18" s="11"/>
    </row>
    <row r="19" spans="1:104" ht="18" customHeight="1">
      <c r="A19" s="22">
        <v>8</v>
      </c>
      <c r="C19" s="84">
        <v>3041561</v>
      </c>
      <c r="D19" s="137">
        <f t="shared" si="0"/>
        <v>2.514</v>
      </c>
      <c r="E19" s="139">
        <v>4</v>
      </c>
      <c r="F19" s="140">
        <v>0.6</v>
      </c>
      <c r="G19" s="81" t="str">
        <f t="shared" si="1"/>
        <v>0.00</v>
      </c>
      <c r="H19" s="84">
        <v>4000</v>
      </c>
      <c r="I19" s="85">
        <v>9000</v>
      </c>
      <c r="K19" s="86" t="s">
        <v>208</v>
      </c>
      <c r="L19" s="84">
        <v>67</v>
      </c>
      <c r="M19" s="87">
        <v>0</v>
      </c>
      <c r="O19" s="106"/>
      <c r="Q19" s="107">
        <v>20</v>
      </c>
      <c r="R19" s="152">
        <v>0.28</v>
      </c>
      <c r="S19" s="108">
        <v>22</v>
      </c>
      <c r="U19" s="92">
        <v>7.07</v>
      </c>
      <c r="V19" s="93">
        <v>6.9</v>
      </c>
      <c r="W19" s="94">
        <v>6.66</v>
      </c>
      <c r="Y19" s="89">
        <v>18.2</v>
      </c>
      <c r="Z19" s="95">
        <v>18.2</v>
      </c>
      <c r="AA19" s="91">
        <v>19.5</v>
      </c>
      <c r="AC19" s="92">
        <v>8</v>
      </c>
      <c r="AD19" s="90">
        <v>0.01</v>
      </c>
      <c r="AE19" s="96">
        <v>0.01</v>
      </c>
      <c r="AG19" s="45">
        <f t="shared" si="2"/>
        <v>8</v>
      </c>
      <c r="AH19" s="281"/>
      <c r="AI19" s="97">
        <v>292</v>
      </c>
      <c r="AJ19" s="55">
        <f t="shared" si="3"/>
        <v>6122.293919999999</v>
      </c>
      <c r="AK19" s="97"/>
      <c r="AL19" s="55">
        <f t="shared" si="4"/>
      </c>
      <c r="AM19" s="97">
        <v>15</v>
      </c>
      <c r="AN19" s="55">
        <f t="shared" si="5"/>
        <v>314.50139999999993</v>
      </c>
      <c r="AO19" s="109">
        <v>12</v>
      </c>
      <c r="AQ19" s="99">
        <v>254</v>
      </c>
      <c r="AR19" s="55">
        <f t="shared" si="6"/>
        <v>5325.55704</v>
      </c>
      <c r="AS19" s="97"/>
      <c r="AT19" s="55">
        <f t="shared" si="7"/>
      </c>
      <c r="AU19" s="97">
        <v>24</v>
      </c>
      <c r="AV19" s="55">
        <f t="shared" si="8"/>
        <v>503.20223999999996</v>
      </c>
      <c r="AX19" s="99"/>
      <c r="AY19" s="100"/>
      <c r="AZ19" s="101"/>
      <c r="BA19" s="97"/>
      <c r="BB19" s="101"/>
      <c r="BC19" s="97"/>
      <c r="BD19" s="97"/>
      <c r="BE19" s="102"/>
      <c r="BG19" s="99"/>
      <c r="BH19" s="83"/>
      <c r="BI19" s="103"/>
      <c r="BK19" s="17"/>
      <c r="BL19" s="61"/>
      <c r="BM19" s="44"/>
      <c r="BN19" s="44"/>
      <c r="BO19" s="44"/>
      <c r="BP19" s="44"/>
      <c r="BQ19" s="62"/>
      <c r="BR19" s="62"/>
      <c r="BS19" s="43"/>
      <c r="BT19" s="43"/>
      <c r="BU19" s="43"/>
      <c r="BV19" s="43"/>
      <c r="BW19" s="43"/>
      <c r="BX19" s="43"/>
      <c r="BY19" s="43"/>
      <c r="BZ19" s="43"/>
      <c r="CA19" s="63"/>
      <c r="CB19" s="43"/>
      <c r="CC19" s="64"/>
      <c r="CE19" s="69"/>
      <c r="CF19" s="20"/>
      <c r="CG19" s="279"/>
      <c r="CH19" s="279"/>
      <c r="CI19" s="279"/>
      <c r="CJ19" s="279"/>
      <c r="CK19" s="279"/>
      <c r="CL19" s="20"/>
      <c r="CM19" s="280"/>
      <c r="CN19" s="59"/>
      <c r="CP19" s="17"/>
      <c r="CQ19" s="17"/>
      <c r="CR19" s="17"/>
      <c r="CS19" s="11"/>
      <c r="CT19" s="11"/>
      <c r="CU19" s="11"/>
      <c r="CV19" s="11"/>
      <c r="CW19" s="11"/>
      <c r="CX19" s="11"/>
      <c r="CY19" s="11"/>
      <c r="CZ19" s="11"/>
    </row>
    <row r="20" spans="1:104" ht="18" customHeight="1">
      <c r="A20" s="22">
        <v>9</v>
      </c>
      <c r="C20" s="84">
        <v>3043856</v>
      </c>
      <c r="D20" s="137">
        <f t="shared" si="0"/>
        <v>2.295</v>
      </c>
      <c r="E20" s="139">
        <v>6.4</v>
      </c>
      <c r="F20" s="140">
        <v>0.7</v>
      </c>
      <c r="G20" s="81" t="str">
        <f t="shared" si="1"/>
        <v>0.00</v>
      </c>
      <c r="H20" s="84">
        <v>3350</v>
      </c>
      <c r="I20" s="85">
        <v>11500</v>
      </c>
      <c r="K20" s="86" t="s">
        <v>213</v>
      </c>
      <c r="L20" s="84">
        <v>66</v>
      </c>
      <c r="M20" s="87">
        <v>0.01</v>
      </c>
      <c r="O20" s="106"/>
      <c r="Q20" s="107">
        <v>20</v>
      </c>
      <c r="R20" s="152">
        <v>0.23</v>
      </c>
      <c r="S20" s="108">
        <v>13</v>
      </c>
      <c r="U20" s="92">
        <v>7.06</v>
      </c>
      <c r="V20" s="93">
        <v>6.9</v>
      </c>
      <c r="W20" s="94">
        <v>6.38</v>
      </c>
      <c r="Y20" s="89">
        <v>17.9</v>
      </c>
      <c r="Z20" s="95">
        <v>17.9</v>
      </c>
      <c r="AA20" s="91">
        <v>19.2</v>
      </c>
      <c r="AC20" s="92">
        <v>7.5</v>
      </c>
      <c r="AD20" s="90">
        <v>0.01</v>
      </c>
      <c r="AE20" s="96">
        <v>0</v>
      </c>
      <c r="AG20" s="45">
        <f t="shared" si="2"/>
        <v>9</v>
      </c>
      <c r="AH20" s="281"/>
      <c r="AI20" s="97">
        <v>312</v>
      </c>
      <c r="AJ20" s="55">
        <f t="shared" si="3"/>
        <v>5971.7735999999995</v>
      </c>
      <c r="AK20" s="97"/>
      <c r="AL20" s="55">
        <f t="shared" si="4"/>
      </c>
      <c r="AM20" s="97">
        <v>13</v>
      </c>
      <c r="AN20" s="55">
        <f t="shared" si="5"/>
        <v>248.8239</v>
      </c>
      <c r="AO20" s="109">
        <v>10</v>
      </c>
      <c r="AQ20" s="99">
        <v>308</v>
      </c>
      <c r="AR20" s="55">
        <f t="shared" si="6"/>
        <v>5895.2124</v>
      </c>
      <c r="AS20" s="97"/>
      <c r="AT20" s="55">
        <f t="shared" si="7"/>
      </c>
      <c r="AU20" s="97">
        <v>24</v>
      </c>
      <c r="AV20" s="55">
        <f t="shared" si="8"/>
        <v>459.36719999999997</v>
      </c>
      <c r="AX20" s="99">
        <v>41339</v>
      </c>
      <c r="AY20" s="100">
        <v>4</v>
      </c>
      <c r="AZ20" s="101">
        <v>3.5</v>
      </c>
      <c r="BA20" s="97">
        <v>31</v>
      </c>
      <c r="BB20" s="101">
        <v>35</v>
      </c>
      <c r="BC20" s="97">
        <v>24</v>
      </c>
      <c r="BD20" s="97">
        <v>1785</v>
      </c>
      <c r="BE20" s="102">
        <v>12.34</v>
      </c>
      <c r="BG20" s="99">
        <v>24</v>
      </c>
      <c r="BH20" s="83" t="s">
        <v>223</v>
      </c>
      <c r="BI20" s="103" t="s">
        <v>224</v>
      </c>
      <c r="CE20" s="69"/>
      <c r="CF20" s="20" t="s">
        <v>142</v>
      </c>
      <c r="CG20" s="105"/>
      <c r="CH20" s="105"/>
      <c r="CI20" s="279"/>
      <c r="CJ20" s="105"/>
      <c r="CK20" s="105"/>
      <c r="CL20" s="20"/>
      <c r="CM20" s="151"/>
      <c r="CN20" s="59"/>
      <c r="CP20" s="17"/>
      <c r="CQ20" s="17"/>
      <c r="CR20" s="17"/>
      <c r="CS20" s="11"/>
      <c r="CT20" s="11"/>
      <c r="CU20" s="11"/>
      <c r="CV20" s="11"/>
      <c r="CW20" s="11"/>
      <c r="CX20" s="11"/>
      <c r="CY20" s="11"/>
      <c r="CZ20" s="11"/>
    </row>
    <row r="21" spans="1:104" ht="18" customHeight="1">
      <c r="A21" s="22">
        <v>10</v>
      </c>
      <c r="C21" s="112">
        <v>3046756</v>
      </c>
      <c r="D21" s="138">
        <f t="shared" si="0"/>
        <v>2.9</v>
      </c>
      <c r="E21" s="141">
        <v>4.2</v>
      </c>
      <c r="F21" s="142">
        <v>0.6</v>
      </c>
      <c r="G21" s="183" t="str">
        <f t="shared" si="1"/>
        <v>0.00</v>
      </c>
      <c r="H21" s="112">
        <v>750</v>
      </c>
      <c r="I21" s="113">
        <v>7500</v>
      </c>
      <c r="K21" s="114" t="s">
        <v>208</v>
      </c>
      <c r="L21" s="112">
        <v>66</v>
      </c>
      <c r="M21" s="115">
        <v>0</v>
      </c>
      <c r="O21" s="116"/>
      <c r="Q21" s="258">
        <v>22</v>
      </c>
      <c r="R21" s="259">
        <v>0.28</v>
      </c>
      <c r="S21" s="264"/>
      <c r="U21" s="117">
        <v>7.06</v>
      </c>
      <c r="V21" s="118">
        <v>6.9</v>
      </c>
      <c r="W21" s="119">
        <v>6.58</v>
      </c>
      <c r="Y21" s="120">
        <v>18</v>
      </c>
      <c r="Z21" s="121">
        <v>17.8</v>
      </c>
      <c r="AA21" s="122">
        <v>19</v>
      </c>
      <c r="AC21" s="117">
        <v>8</v>
      </c>
      <c r="AD21" s="123">
        <v>0.01</v>
      </c>
      <c r="AE21" s="124">
        <v>0</v>
      </c>
      <c r="AG21" s="45">
        <f t="shared" si="2"/>
        <v>10</v>
      </c>
      <c r="AH21" s="281"/>
      <c r="AI21" s="125">
        <v>253</v>
      </c>
      <c r="AJ21" s="65">
        <f t="shared" si="3"/>
        <v>6119.057999999999</v>
      </c>
      <c r="AK21" s="125">
        <v>154</v>
      </c>
      <c r="AL21" s="65">
        <f t="shared" si="4"/>
        <v>3724.644</v>
      </c>
      <c r="AM21" s="125">
        <v>15</v>
      </c>
      <c r="AN21" s="65">
        <f t="shared" si="5"/>
        <v>362.79</v>
      </c>
      <c r="AO21" s="126">
        <v>11</v>
      </c>
      <c r="AQ21" s="127">
        <v>250</v>
      </c>
      <c r="AR21" s="65">
        <f t="shared" si="6"/>
        <v>6046.5</v>
      </c>
      <c r="AS21" s="125">
        <v>97</v>
      </c>
      <c r="AT21" s="65">
        <f t="shared" si="7"/>
        <v>2346.042</v>
      </c>
      <c r="AU21" s="125">
        <v>29</v>
      </c>
      <c r="AV21" s="65">
        <f t="shared" si="8"/>
        <v>701.3939999999999</v>
      </c>
      <c r="AX21" s="127"/>
      <c r="AY21" s="128"/>
      <c r="AZ21" s="129"/>
      <c r="BA21" s="125"/>
      <c r="BB21" s="129"/>
      <c r="BC21" s="125"/>
      <c r="BD21" s="125"/>
      <c r="BE21" s="130"/>
      <c r="BG21" s="127"/>
      <c r="BH21" s="110"/>
      <c r="BI21" s="131"/>
      <c r="BK21" s="17"/>
      <c r="BL21" s="49"/>
      <c r="BM21" s="51"/>
      <c r="BN21" s="50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67"/>
      <c r="CB21" s="51"/>
      <c r="CC21" s="52"/>
      <c r="CE21" s="69"/>
      <c r="CF21" s="43"/>
      <c r="CG21" s="161"/>
      <c r="CH21" s="161"/>
      <c r="CI21" s="161"/>
      <c r="CJ21" s="161"/>
      <c r="CK21" s="161"/>
      <c r="CL21" s="62"/>
      <c r="CM21" s="70"/>
      <c r="CN21" s="59"/>
      <c r="CP21" s="17"/>
      <c r="CQ21" s="17"/>
      <c r="CR21" s="17"/>
      <c r="CS21" s="11"/>
      <c r="CT21" s="11"/>
      <c r="CU21" s="11"/>
      <c r="CV21" s="11"/>
      <c r="CW21" s="11"/>
      <c r="CX21" s="11"/>
      <c r="CY21" s="11"/>
      <c r="CZ21" s="11"/>
    </row>
    <row r="22" spans="1:104" ht="18" customHeight="1">
      <c r="A22" s="22">
        <v>11</v>
      </c>
      <c r="C22" s="84">
        <v>3049303</v>
      </c>
      <c r="D22" s="137">
        <f t="shared" si="0"/>
        <v>2.547</v>
      </c>
      <c r="E22" s="139">
        <v>4</v>
      </c>
      <c r="F22" s="140">
        <v>0.6</v>
      </c>
      <c r="G22" s="81" t="str">
        <f t="shared" si="1"/>
        <v>0.00</v>
      </c>
      <c r="H22" s="84">
        <v>0</v>
      </c>
      <c r="I22" s="85">
        <v>0</v>
      </c>
      <c r="K22" s="86" t="s">
        <v>208</v>
      </c>
      <c r="L22" s="84">
        <v>61</v>
      </c>
      <c r="M22" s="87">
        <v>0</v>
      </c>
      <c r="O22" s="106"/>
      <c r="Q22" s="107">
        <v>20</v>
      </c>
      <c r="R22" s="152">
        <v>0.23</v>
      </c>
      <c r="S22" s="108"/>
      <c r="U22" s="92">
        <v>6.99</v>
      </c>
      <c r="V22" s="93">
        <v>6.86</v>
      </c>
      <c r="W22" s="94">
        <v>6.42</v>
      </c>
      <c r="Y22" s="89">
        <v>17.8</v>
      </c>
      <c r="Z22" s="95">
        <v>17.4</v>
      </c>
      <c r="AA22" s="91">
        <v>18.3</v>
      </c>
      <c r="AC22" s="92">
        <v>7</v>
      </c>
      <c r="AD22" s="90">
        <v>0.01</v>
      </c>
      <c r="AE22" s="96">
        <v>0.01</v>
      </c>
      <c r="AG22" s="45">
        <f t="shared" si="2"/>
        <v>11</v>
      </c>
      <c r="AH22" s="281"/>
      <c r="AI22" s="97"/>
      <c r="AJ22" s="55">
        <f t="shared" si="3"/>
      </c>
      <c r="AK22" s="97"/>
      <c r="AL22" s="55">
        <f t="shared" si="4"/>
      </c>
      <c r="AM22" s="97"/>
      <c r="AN22" s="55">
        <f t="shared" si="5"/>
      </c>
      <c r="AO22" s="109"/>
      <c r="AQ22" s="99"/>
      <c r="AR22" s="55">
        <f t="shared" si="6"/>
      </c>
      <c r="AS22" s="97"/>
      <c r="AT22" s="55">
        <f t="shared" si="7"/>
      </c>
      <c r="AU22" s="97"/>
      <c r="AV22" s="55">
        <f t="shared" si="8"/>
      </c>
      <c r="AX22" s="99"/>
      <c r="AY22" s="100"/>
      <c r="AZ22" s="101"/>
      <c r="BA22" s="97"/>
      <c r="BB22" s="101"/>
      <c r="BC22" s="97"/>
      <c r="BD22" s="97"/>
      <c r="BE22" s="102"/>
      <c r="BG22" s="99"/>
      <c r="BH22" s="83"/>
      <c r="BI22" s="103"/>
      <c r="BK22" s="17"/>
      <c r="BL22" s="19"/>
      <c r="BM22" s="56" t="s">
        <v>21</v>
      </c>
      <c r="BN22" s="20"/>
      <c r="BO22" s="57" t="s">
        <v>130</v>
      </c>
      <c r="BP22" s="26"/>
      <c r="BQ22" s="185">
        <f>(IF(((SUM(AV12:AV42))=0)," ",(AVERAGE(AV12:AV42))))</f>
        <v>505.1615442857142</v>
      </c>
      <c r="BR22" s="185">
        <f>MAX(AV12:AV42)</f>
        <v>701.3939999999999</v>
      </c>
      <c r="BS22" s="26" t="s">
        <v>126</v>
      </c>
      <c r="BT22" s="26"/>
      <c r="BU22" s="185">
        <f>(IF(((SUM(AU12:AU42))=0)," ",(AVERAGE(AU12:AU42))))</f>
        <v>24.214285714285715</v>
      </c>
      <c r="BV22" s="58">
        <f>(CJ23)</f>
        <v>27.666666666666668</v>
      </c>
      <c r="BW22" s="185">
        <f>MAX(AU12:AU42)</f>
        <v>29</v>
      </c>
      <c r="BX22" s="26" t="s">
        <v>128</v>
      </c>
      <c r="BY22" s="26"/>
      <c r="BZ22" s="26">
        <v>0</v>
      </c>
      <c r="CA22" s="266" t="s">
        <v>47</v>
      </c>
      <c r="CB22" s="26">
        <v>24</v>
      </c>
      <c r="CC22" s="136"/>
      <c r="CE22" s="69"/>
      <c r="CF22" s="26"/>
      <c r="CG22" s="185"/>
      <c r="CH22" s="185"/>
      <c r="CI22" s="185"/>
      <c r="CJ22" s="185"/>
      <c r="CK22" s="185"/>
      <c r="CL22" s="71"/>
      <c r="CM22" s="60"/>
      <c r="CN22" s="59"/>
      <c r="CP22" s="17"/>
      <c r="CQ22" s="17"/>
      <c r="CR22" s="17"/>
      <c r="CS22" s="11"/>
      <c r="CT22" s="11"/>
      <c r="CU22" s="11"/>
      <c r="CV22" s="11"/>
      <c r="CW22" s="11"/>
      <c r="CX22" s="11"/>
      <c r="CY22" s="11"/>
      <c r="CZ22" s="11"/>
    </row>
    <row r="23" spans="1:104" ht="18" customHeight="1">
      <c r="A23" s="22">
        <v>12</v>
      </c>
      <c r="C23" s="84">
        <v>3051723</v>
      </c>
      <c r="D23" s="137">
        <f t="shared" si="0"/>
        <v>2.42</v>
      </c>
      <c r="E23" s="139">
        <v>3.9</v>
      </c>
      <c r="F23" s="140">
        <v>0.6</v>
      </c>
      <c r="G23" s="81" t="str">
        <f t="shared" si="1"/>
        <v>0.00</v>
      </c>
      <c r="H23" s="84">
        <v>0</v>
      </c>
      <c r="I23" s="85">
        <v>0</v>
      </c>
      <c r="K23" s="86" t="s">
        <v>209</v>
      </c>
      <c r="L23" s="84">
        <v>61</v>
      </c>
      <c r="M23" s="87">
        <v>0</v>
      </c>
      <c r="O23" s="106"/>
      <c r="Q23" s="107">
        <v>18</v>
      </c>
      <c r="R23" s="152">
        <v>0.25</v>
      </c>
      <c r="S23" s="108"/>
      <c r="U23" s="92">
        <v>6.87</v>
      </c>
      <c r="V23" s="93">
        <v>6.77</v>
      </c>
      <c r="W23" s="94">
        <v>6.43</v>
      </c>
      <c r="Y23" s="89">
        <v>16.8</v>
      </c>
      <c r="Z23" s="95">
        <v>17.4</v>
      </c>
      <c r="AA23" s="91">
        <v>17.1</v>
      </c>
      <c r="AC23" s="92">
        <v>7.5</v>
      </c>
      <c r="AD23" s="90">
        <v>0.01</v>
      </c>
      <c r="AE23" s="96">
        <v>0</v>
      </c>
      <c r="AG23" s="45">
        <f t="shared" si="2"/>
        <v>12</v>
      </c>
      <c r="AH23" s="281"/>
      <c r="AI23" s="97"/>
      <c r="AJ23" s="55">
        <f t="shared" si="3"/>
      </c>
      <c r="AK23" s="97"/>
      <c r="AL23" s="55">
        <f t="shared" si="4"/>
      </c>
      <c r="AM23" s="97"/>
      <c r="AN23" s="55">
        <f t="shared" si="5"/>
      </c>
      <c r="AO23" s="109"/>
      <c r="AQ23" s="99"/>
      <c r="AR23" s="55">
        <f t="shared" si="6"/>
      </c>
      <c r="AS23" s="97"/>
      <c r="AT23" s="55">
        <f t="shared" si="7"/>
      </c>
      <c r="AU23" s="97"/>
      <c r="AV23" s="55">
        <f t="shared" si="8"/>
      </c>
      <c r="AX23" s="99"/>
      <c r="AY23" s="100"/>
      <c r="AZ23" s="101"/>
      <c r="BA23" s="97"/>
      <c r="BB23" s="101"/>
      <c r="BC23" s="97"/>
      <c r="BD23" s="97"/>
      <c r="BE23" s="102"/>
      <c r="BG23" s="99"/>
      <c r="BH23" s="83"/>
      <c r="BI23" s="103"/>
      <c r="BK23" s="17"/>
      <c r="BL23" s="19"/>
      <c r="BM23" s="26" t="s">
        <v>86</v>
      </c>
      <c r="BN23" s="20"/>
      <c r="BO23" s="153" t="s">
        <v>131</v>
      </c>
      <c r="BP23" s="26"/>
      <c r="BQ23" s="267">
        <v>963</v>
      </c>
      <c r="BR23" s="267">
        <v>1605</v>
      </c>
      <c r="BS23" s="154" t="s">
        <v>126</v>
      </c>
      <c r="BT23" s="26"/>
      <c r="BU23" s="267">
        <v>30</v>
      </c>
      <c r="BV23" s="268">
        <v>45</v>
      </c>
      <c r="BW23" s="267">
        <v>50</v>
      </c>
      <c r="BX23" s="154" t="s">
        <v>128</v>
      </c>
      <c r="BY23" s="26"/>
      <c r="BZ23" s="269" t="s">
        <v>150</v>
      </c>
      <c r="CA23" s="270" t="s">
        <v>47</v>
      </c>
      <c r="CB23" s="154">
        <v>24</v>
      </c>
      <c r="CC23" s="136"/>
      <c r="CE23" s="69"/>
      <c r="CF23" s="72" t="s">
        <v>53</v>
      </c>
      <c r="CG23" s="185">
        <f>(IF(((SUM(CG12:CG20))=0)," ",(MAX(CG12:CG20))))</f>
        <v>17.333333333333332</v>
      </c>
      <c r="CH23" s="185">
        <f>(IF(((SUM(CH12:CH20))=0)," ",(MAX(CH12:CH20))))</f>
        <v>367.08788000000004</v>
      </c>
      <c r="CI23" s="185"/>
      <c r="CJ23" s="185">
        <f>(IF(((SUM(CJ12:CJ20))=0)," ",(MAX(CJ12:CJ20))))</f>
        <v>27.666666666666668</v>
      </c>
      <c r="CK23" s="185">
        <f>(IF(((SUM(CK12:CK20))=0)," ",(MAX(CK12:CK20))))</f>
        <v>554.65448</v>
      </c>
      <c r="CL23" s="71"/>
      <c r="CM23" s="60">
        <f>(MAX(CM12:CM20))</f>
        <v>0.002857142857142857</v>
      </c>
      <c r="CN23" s="59"/>
      <c r="CP23" s="17"/>
      <c r="CQ23" s="17"/>
      <c r="CR23" s="17"/>
      <c r="CS23" s="11"/>
      <c r="CT23" s="11"/>
      <c r="CU23" s="11"/>
      <c r="CV23" s="11"/>
      <c r="CW23" s="11"/>
      <c r="CX23" s="11"/>
      <c r="CY23" s="11"/>
      <c r="CZ23" s="11"/>
    </row>
    <row r="24" spans="1:104" ht="18" customHeight="1">
      <c r="A24" s="22">
        <v>13</v>
      </c>
      <c r="C24" s="84">
        <v>3054087</v>
      </c>
      <c r="D24" s="137">
        <f t="shared" si="0"/>
        <v>2.364</v>
      </c>
      <c r="E24" s="139">
        <v>4</v>
      </c>
      <c r="F24" s="140">
        <v>0.6</v>
      </c>
      <c r="G24" s="81" t="str">
        <f t="shared" si="1"/>
        <v>0.00</v>
      </c>
      <c r="H24" s="84">
        <v>1500</v>
      </c>
      <c r="I24" s="85">
        <v>10750</v>
      </c>
      <c r="K24" s="86" t="s">
        <v>209</v>
      </c>
      <c r="L24" s="84">
        <v>62</v>
      </c>
      <c r="M24" s="87">
        <v>0</v>
      </c>
      <c r="O24" s="106"/>
      <c r="Q24" s="107">
        <v>18</v>
      </c>
      <c r="R24" s="152">
        <v>0.22</v>
      </c>
      <c r="S24" s="108">
        <v>4</v>
      </c>
      <c r="U24" s="92">
        <v>7.05</v>
      </c>
      <c r="V24" s="93">
        <v>6.83</v>
      </c>
      <c r="W24" s="94">
        <v>6.53</v>
      </c>
      <c r="Y24" s="89">
        <v>17.4</v>
      </c>
      <c r="Z24" s="95">
        <v>17.7</v>
      </c>
      <c r="AA24" s="91">
        <v>18.8</v>
      </c>
      <c r="AC24" s="92">
        <v>8.5</v>
      </c>
      <c r="AD24" s="90">
        <v>0</v>
      </c>
      <c r="AE24" s="96">
        <v>0</v>
      </c>
      <c r="AG24" s="45">
        <f t="shared" si="2"/>
        <v>13</v>
      </c>
      <c r="AH24" s="281"/>
      <c r="AI24" s="97"/>
      <c r="AJ24" s="55">
        <f t="shared" si="3"/>
      </c>
      <c r="AK24" s="97"/>
      <c r="AL24" s="55">
        <f t="shared" si="4"/>
      </c>
      <c r="AM24" s="97"/>
      <c r="AN24" s="55">
        <f t="shared" si="5"/>
      </c>
      <c r="AO24" s="109"/>
      <c r="AQ24" s="99"/>
      <c r="AR24" s="55">
        <f t="shared" si="6"/>
      </c>
      <c r="AS24" s="97"/>
      <c r="AT24" s="55">
        <f t="shared" si="7"/>
      </c>
      <c r="AU24" s="97"/>
      <c r="AV24" s="55">
        <f t="shared" si="8"/>
      </c>
      <c r="AX24" s="99">
        <v>43971</v>
      </c>
      <c r="AY24" s="100">
        <v>4</v>
      </c>
      <c r="AZ24" s="101">
        <v>3</v>
      </c>
      <c r="BA24" s="97">
        <v>31</v>
      </c>
      <c r="BB24" s="101">
        <v>33</v>
      </c>
      <c r="BC24" s="97">
        <v>24</v>
      </c>
      <c r="BD24" s="97">
        <v>1800</v>
      </c>
      <c r="BE24" s="102">
        <v>12.41</v>
      </c>
      <c r="BG24" s="99">
        <v>24</v>
      </c>
      <c r="BH24" s="83" t="s">
        <v>223</v>
      </c>
      <c r="BI24" s="103" t="s">
        <v>224</v>
      </c>
      <c r="BK24" s="17"/>
      <c r="BL24" s="61"/>
      <c r="BM24" s="44"/>
      <c r="BN24" s="44"/>
      <c r="BO24" s="44"/>
      <c r="BP24" s="44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63"/>
      <c r="CB24" s="43"/>
      <c r="CC24" s="64"/>
      <c r="CE24" s="73"/>
      <c r="CF24" s="43"/>
      <c r="CG24" s="43"/>
      <c r="CH24" s="43"/>
      <c r="CI24" s="43"/>
      <c r="CJ24" s="43"/>
      <c r="CK24" s="43"/>
      <c r="CL24" s="43"/>
      <c r="CM24" s="43"/>
      <c r="CN24" s="64"/>
      <c r="CP24" s="17"/>
      <c r="CQ24" s="17"/>
      <c r="CR24" s="17"/>
      <c r="CS24" s="11"/>
      <c r="CT24" s="11"/>
      <c r="CU24" s="11"/>
      <c r="CV24" s="11"/>
      <c r="CW24" s="11"/>
      <c r="CX24" s="11"/>
      <c r="CY24" s="11"/>
      <c r="CZ24" s="11"/>
    </row>
    <row r="25" spans="1:104" ht="18" customHeight="1">
      <c r="A25" s="22">
        <v>14</v>
      </c>
      <c r="C25" s="84">
        <v>3056503</v>
      </c>
      <c r="D25" s="137">
        <f t="shared" si="0"/>
        <v>2.416</v>
      </c>
      <c r="E25" s="139">
        <v>3.8</v>
      </c>
      <c r="F25" s="140">
        <v>0.6</v>
      </c>
      <c r="G25" s="81" t="str">
        <f t="shared" si="1"/>
        <v>0.00</v>
      </c>
      <c r="H25" s="84">
        <v>2200</v>
      </c>
      <c r="I25" s="85">
        <v>11750</v>
      </c>
      <c r="K25" s="86" t="s">
        <v>209</v>
      </c>
      <c r="L25" s="84">
        <v>54</v>
      </c>
      <c r="M25" s="87">
        <v>0</v>
      </c>
      <c r="O25" s="106"/>
      <c r="Q25" s="107">
        <v>20</v>
      </c>
      <c r="R25" s="152">
        <v>0.24</v>
      </c>
      <c r="S25" s="108">
        <v>64</v>
      </c>
      <c r="U25" s="92">
        <v>7.24</v>
      </c>
      <c r="V25" s="93">
        <v>6.99</v>
      </c>
      <c r="W25" s="94">
        <v>6.73</v>
      </c>
      <c r="Y25" s="89">
        <v>18.1</v>
      </c>
      <c r="Z25" s="95">
        <v>17.9</v>
      </c>
      <c r="AA25" s="91">
        <v>18.6</v>
      </c>
      <c r="AC25" s="92">
        <v>9.5</v>
      </c>
      <c r="AD25" s="90">
        <v>0</v>
      </c>
      <c r="AE25" s="96">
        <v>0</v>
      </c>
      <c r="AG25" s="45">
        <f t="shared" si="2"/>
        <v>14</v>
      </c>
      <c r="AH25" s="281"/>
      <c r="AI25" s="97"/>
      <c r="AJ25" s="55">
        <f t="shared" si="3"/>
      </c>
      <c r="AK25" s="97"/>
      <c r="AL25" s="55">
        <f t="shared" si="4"/>
      </c>
      <c r="AM25" s="97"/>
      <c r="AN25" s="55">
        <f t="shared" si="5"/>
      </c>
      <c r="AO25" s="109"/>
      <c r="AQ25" s="99"/>
      <c r="AR25" s="55">
        <f t="shared" si="6"/>
      </c>
      <c r="AS25" s="97"/>
      <c r="AT25" s="55">
        <f t="shared" si="7"/>
      </c>
      <c r="AU25" s="97"/>
      <c r="AV25" s="55">
        <f t="shared" si="8"/>
      </c>
      <c r="AX25" s="99"/>
      <c r="AY25" s="100"/>
      <c r="AZ25" s="101"/>
      <c r="BA25" s="97"/>
      <c r="BB25" s="101"/>
      <c r="BC25" s="97"/>
      <c r="BD25" s="97"/>
      <c r="BE25" s="102"/>
      <c r="BG25" s="99"/>
      <c r="BH25" s="83"/>
      <c r="BI25" s="103"/>
      <c r="CP25" s="17"/>
      <c r="CQ25" s="17"/>
      <c r="CR25" s="17"/>
      <c r="CS25" s="11"/>
      <c r="CT25" s="11"/>
      <c r="CU25" s="11"/>
      <c r="CV25" s="11"/>
      <c r="CW25" s="11"/>
      <c r="CX25" s="11"/>
      <c r="CY25" s="11"/>
      <c r="CZ25" s="11"/>
    </row>
    <row r="26" spans="1:104" ht="18" customHeight="1">
      <c r="A26" s="22">
        <v>15</v>
      </c>
      <c r="C26" s="112">
        <v>3058846</v>
      </c>
      <c r="D26" s="138">
        <f t="shared" si="0"/>
        <v>2.343</v>
      </c>
      <c r="E26" s="141">
        <v>4.4</v>
      </c>
      <c r="F26" s="142">
        <v>0.6</v>
      </c>
      <c r="G26" s="183" t="str">
        <f t="shared" si="1"/>
        <v>0.00</v>
      </c>
      <c r="H26" s="112">
        <v>5900</v>
      </c>
      <c r="I26" s="113">
        <v>10500</v>
      </c>
      <c r="K26" s="114" t="s">
        <v>209</v>
      </c>
      <c r="L26" s="112">
        <v>58</v>
      </c>
      <c r="M26" s="115">
        <v>0</v>
      </c>
      <c r="O26" s="116"/>
      <c r="Q26" s="258">
        <v>21</v>
      </c>
      <c r="R26" s="259">
        <v>0.2</v>
      </c>
      <c r="S26" s="264">
        <v>12</v>
      </c>
      <c r="U26" s="117">
        <v>6.95</v>
      </c>
      <c r="V26" s="118">
        <v>6.89</v>
      </c>
      <c r="W26" s="119">
        <v>6.41</v>
      </c>
      <c r="Y26" s="120">
        <v>18.4</v>
      </c>
      <c r="Z26" s="121">
        <v>17.8</v>
      </c>
      <c r="AA26" s="122">
        <v>18.5</v>
      </c>
      <c r="AC26" s="117">
        <v>5</v>
      </c>
      <c r="AD26" s="123">
        <v>0.01</v>
      </c>
      <c r="AE26" s="124">
        <v>0</v>
      </c>
      <c r="AG26" s="45">
        <f t="shared" si="2"/>
        <v>15</v>
      </c>
      <c r="AH26" s="281"/>
      <c r="AI26" s="125">
        <v>281</v>
      </c>
      <c r="AJ26" s="65">
        <f t="shared" si="3"/>
        <v>5490.914220000001</v>
      </c>
      <c r="AK26" s="125"/>
      <c r="AL26" s="65">
        <f t="shared" si="4"/>
      </c>
      <c r="AM26" s="125">
        <v>21</v>
      </c>
      <c r="AN26" s="65">
        <f t="shared" si="5"/>
        <v>410.35302</v>
      </c>
      <c r="AO26" s="126">
        <v>17</v>
      </c>
      <c r="AQ26" s="127">
        <v>270</v>
      </c>
      <c r="AR26" s="65">
        <f t="shared" si="6"/>
        <v>5275.9674</v>
      </c>
      <c r="AS26" s="125"/>
      <c r="AT26" s="65">
        <f t="shared" si="7"/>
      </c>
      <c r="AU26" s="125">
        <v>29</v>
      </c>
      <c r="AV26" s="65">
        <f t="shared" si="8"/>
        <v>566.67798</v>
      </c>
      <c r="AX26" s="127">
        <v>32849</v>
      </c>
      <c r="AY26" s="128">
        <v>3</v>
      </c>
      <c r="AZ26" s="129">
        <v>2.25</v>
      </c>
      <c r="BA26" s="125">
        <v>21.7</v>
      </c>
      <c r="BB26" s="129">
        <v>31</v>
      </c>
      <c r="BC26" s="125">
        <v>18</v>
      </c>
      <c r="BD26" s="125">
        <v>1283</v>
      </c>
      <c r="BE26" s="130">
        <v>12.36</v>
      </c>
      <c r="BG26" s="127">
        <v>18</v>
      </c>
      <c r="BH26" s="110" t="s">
        <v>223</v>
      </c>
      <c r="BI26" s="131" t="s">
        <v>228</v>
      </c>
      <c r="BK26" s="17"/>
      <c r="BL26" s="49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74"/>
      <c r="CB26" s="51"/>
      <c r="CC26" s="52"/>
      <c r="CP26" s="17"/>
      <c r="CQ26" s="17"/>
      <c r="CR26" s="17"/>
      <c r="CS26" s="11"/>
      <c r="CT26" s="11"/>
      <c r="CU26" s="11"/>
      <c r="CV26" s="11"/>
      <c r="CW26" s="11"/>
      <c r="CX26" s="11"/>
      <c r="CY26" s="11"/>
      <c r="CZ26" s="11"/>
    </row>
    <row r="27" spans="1:104" ht="18" customHeight="1">
      <c r="A27" s="22">
        <v>16</v>
      </c>
      <c r="C27" s="84">
        <v>3061260</v>
      </c>
      <c r="D27" s="137">
        <f t="shared" si="0"/>
        <v>2.414</v>
      </c>
      <c r="E27" s="139">
        <v>3.8</v>
      </c>
      <c r="F27" s="140">
        <v>0.6</v>
      </c>
      <c r="G27" s="81" t="str">
        <f t="shared" si="1"/>
        <v>0.00</v>
      </c>
      <c r="H27" s="84">
        <v>0</v>
      </c>
      <c r="I27" s="85">
        <v>8500</v>
      </c>
      <c r="K27" s="86" t="s">
        <v>209</v>
      </c>
      <c r="L27" s="84">
        <v>64</v>
      </c>
      <c r="M27" s="87">
        <v>0</v>
      </c>
      <c r="O27" s="106"/>
      <c r="Q27" s="107">
        <v>24</v>
      </c>
      <c r="R27" s="152">
        <v>0.28</v>
      </c>
      <c r="S27" s="108"/>
      <c r="U27" s="92">
        <v>7.39</v>
      </c>
      <c r="V27" s="93">
        <v>6.97</v>
      </c>
      <c r="W27" s="94">
        <v>6.64</v>
      </c>
      <c r="Y27" s="89">
        <v>18.2</v>
      </c>
      <c r="Z27" s="95">
        <v>18.1</v>
      </c>
      <c r="AA27" s="91">
        <v>19.3</v>
      </c>
      <c r="AC27" s="92">
        <v>9</v>
      </c>
      <c r="AD27" s="90">
        <v>0</v>
      </c>
      <c r="AE27" s="96">
        <v>0</v>
      </c>
      <c r="AG27" s="45">
        <f t="shared" si="2"/>
        <v>16</v>
      </c>
      <c r="AH27" s="281"/>
      <c r="AI27" s="97">
        <v>310</v>
      </c>
      <c r="AJ27" s="55">
        <f t="shared" si="3"/>
        <v>6241.1556</v>
      </c>
      <c r="AK27" s="97"/>
      <c r="AL27" s="55">
        <f t="shared" si="4"/>
      </c>
      <c r="AM27" s="97">
        <v>17</v>
      </c>
      <c r="AN27" s="55">
        <f t="shared" si="5"/>
        <v>342.25692000000004</v>
      </c>
      <c r="AO27" s="109">
        <v>11</v>
      </c>
      <c r="AQ27" s="99">
        <v>296</v>
      </c>
      <c r="AR27" s="55">
        <f t="shared" si="6"/>
        <v>5959.296960000001</v>
      </c>
      <c r="AS27" s="97"/>
      <c r="AT27" s="55">
        <f t="shared" si="7"/>
      </c>
      <c r="AU27" s="97">
        <v>26</v>
      </c>
      <c r="AV27" s="55">
        <f t="shared" si="8"/>
        <v>523.45176</v>
      </c>
      <c r="AX27" s="99"/>
      <c r="AY27" s="100"/>
      <c r="AZ27" s="101"/>
      <c r="BA27" s="97"/>
      <c r="BB27" s="101"/>
      <c r="BC27" s="97"/>
      <c r="BD27" s="97"/>
      <c r="BE27" s="102"/>
      <c r="BG27" s="99"/>
      <c r="BH27" s="83"/>
      <c r="BI27" s="103"/>
      <c r="BK27" s="17"/>
      <c r="BL27" s="19"/>
      <c r="BM27" s="56" t="s">
        <v>22</v>
      </c>
      <c r="BN27" s="20"/>
      <c r="BO27" s="20"/>
      <c r="BP27" s="20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75"/>
      <c r="CB27" s="26"/>
      <c r="CC27" s="136"/>
      <c r="CP27" s="17"/>
      <c r="CQ27" s="17"/>
      <c r="CR27" s="17"/>
      <c r="CS27" s="11"/>
      <c r="CT27" s="11"/>
      <c r="CU27" s="11"/>
      <c r="CV27" s="11"/>
      <c r="CW27" s="11"/>
      <c r="CX27" s="11"/>
      <c r="CY27" s="11"/>
      <c r="CZ27" s="11"/>
    </row>
    <row r="28" spans="1:104" ht="18" customHeight="1">
      <c r="A28" s="22">
        <v>17</v>
      </c>
      <c r="C28" s="84">
        <v>3063641</v>
      </c>
      <c r="D28" s="137">
        <f t="shared" si="0"/>
        <v>2.381</v>
      </c>
      <c r="E28" s="139">
        <v>4.7</v>
      </c>
      <c r="F28" s="140">
        <v>0.8</v>
      </c>
      <c r="G28" s="81" t="str">
        <f t="shared" si="1"/>
        <v>0.00</v>
      </c>
      <c r="H28" s="84">
        <v>4150</v>
      </c>
      <c r="I28" s="85">
        <v>4500</v>
      </c>
      <c r="K28" s="86" t="s">
        <v>208</v>
      </c>
      <c r="L28" s="84">
        <v>67</v>
      </c>
      <c r="M28" s="87">
        <v>0</v>
      </c>
      <c r="O28" s="106"/>
      <c r="Q28" s="107">
        <v>21</v>
      </c>
      <c r="R28" s="152">
        <v>0.18</v>
      </c>
      <c r="S28" s="108"/>
      <c r="U28" s="92">
        <v>7</v>
      </c>
      <c r="V28" s="93">
        <v>6.82</v>
      </c>
      <c r="W28" s="94">
        <v>6.31</v>
      </c>
      <c r="Y28" s="89">
        <v>18.3</v>
      </c>
      <c r="Z28" s="95">
        <v>18.6</v>
      </c>
      <c r="AA28" s="91">
        <v>19.9</v>
      </c>
      <c r="AC28" s="92">
        <v>9</v>
      </c>
      <c r="AD28" s="90">
        <v>0.01</v>
      </c>
      <c r="AE28" s="96">
        <v>0</v>
      </c>
      <c r="AG28" s="45">
        <f t="shared" si="2"/>
        <v>17</v>
      </c>
      <c r="AH28" s="281"/>
      <c r="AI28" s="97">
        <v>284</v>
      </c>
      <c r="AJ28" s="55">
        <f t="shared" si="3"/>
        <v>5639.541359999999</v>
      </c>
      <c r="AK28" s="97">
        <v>151</v>
      </c>
      <c r="AL28" s="55">
        <f t="shared" si="4"/>
        <v>2998.4885399999994</v>
      </c>
      <c r="AM28" s="97">
        <v>14</v>
      </c>
      <c r="AN28" s="55">
        <f t="shared" si="5"/>
        <v>278.00555999999995</v>
      </c>
      <c r="AO28" s="109">
        <v>9</v>
      </c>
      <c r="AQ28" s="99">
        <v>286</v>
      </c>
      <c r="AR28" s="55">
        <f t="shared" si="6"/>
        <v>5679.256439999999</v>
      </c>
      <c r="AS28" s="97">
        <v>80</v>
      </c>
      <c r="AT28" s="55">
        <f t="shared" si="7"/>
        <v>1588.6031999999998</v>
      </c>
      <c r="AU28" s="97">
        <v>28</v>
      </c>
      <c r="AV28" s="55">
        <f t="shared" si="8"/>
        <v>556.0111199999999</v>
      </c>
      <c r="AX28" s="99"/>
      <c r="AY28" s="100"/>
      <c r="AZ28" s="101"/>
      <c r="BA28" s="97"/>
      <c r="BB28" s="101"/>
      <c r="BC28" s="97"/>
      <c r="BD28" s="97"/>
      <c r="BE28" s="102"/>
      <c r="BG28" s="99"/>
      <c r="BH28" s="83"/>
      <c r="BI28" s="103"/>
      <c r="BK28" s="17"/>
      <c r="BL28" s="19"/>
      <c r="BM28" s="56" t="s">
        <v>9</v>
      </c>
      <c r="BN28" s="20"/>
      <c r="BO28" s="57" t="s">
        <v>130</v>
      </c>
      <c r="BP28" s="26"/>
      <c r="BQ28" s="271" t="s">
        <v>150</v>
      </c>
      <c r="BR28" s="271" t="s">
        <v>150</v>
      </c>
      <c r="BS28" s="271" t="s">
        <v>150</v>
      </c>
      <c r="BT28" s="271"/>
      <c r="BU28" s="271" t="s">
        <v>150</v>
      </c>
      <c r="BV28" s="71">
        <f>(CM23)</f>
        <v>0.002857142857142857</v>
      </c>
      <c r="BW28" s="71">
        <f>MAX(AE12:AE42)</f>
        <v>0.01</v>
      </c>
      <c r="BX28" s="26" t="s">
        <v>128</v>
      </c>
      <c r="BY28" s="26"/>
      <c r="BZ28" s="26">
        <v>0</v>
      </c>
      <c r="CA28" s="266" t="s">
        <v>48</v>
      </c>
      <c r="CB28" s="26" t="s">
        <v>23</v>
      </c>
      <c r="CC28" s="136"/>
      <c r="CP28" s="17"/>
      <c r="CQ28" s="17"/>
      <c r="CR28" s="17"/>
      <c r="CS28" s="11"/>
      <c r="CT28" s="11"/>
      <c r="CU28" s="11"/>
      <c r="CV28" s="11"/>
      <c r="CW28" s="11"/>
      <c r="CX28" s="11"/>
      <c r="CY28" s="11"/>
      <c r="CZ28" s="11"/>
    </row>
    <row r="29" spans="1:104" ht="18" customHeight="1">
      <c r="A29" s="22">
        <v>18</v>
      </c>
      <c r="C29" s="84">
        <v>3066493</v>
      </c>
      <c r="D29" s="137">
        <f t="shared" si="0"/>
        <v>2.852</v>
      </c>
      <c r="E29" s="139">
        <v>4.6</v>
      </c>
      <c r="F29" s="140">
        <v>0.8</v>
      </c>
      <c r="G29" s="81" t="str">
        <f t="shared" si="1"/>
        <v>0.00</v>
      </c>
      <c r="H29" s="84">
        <v>0</v>
      </c>
      <c r="I29" s="85">
        <v>0</v>
      </c>
      <c r="K29" s="86" t="s">
        <v>213</v>
      </c>
      <c r="L29" s="84">
        <v>54</v>
      </c>
      <c r="M29" s="87">
        <v>0</v>
      </c>
      <c r="O29" s="106"/>
      <c r="Q29" s="107">
        <v>21</v>
      </c>
      <c r="R29" s="152">
        <v>0.2</v>
      </c>
      <c r="S29" s="108"/>
      <c r="U29" s="92">
        <v>7.06</v>
      </c>
      <c r="V29" s="93">
        <v>6.81</v>
      </c>
      <c r="W29" s="94">
        <v>6.22</v>
      </c>
      <c r="Y29" s="89">
        <v>17.1</v>
      </c>
      <c r="Z29" s="95">
        <v>17.5</v>
      </c>
      <c r="AA29" s="91">
        <v>19.2</v>
      </c>
      <c r="AC29" s="92">
        <v>5</v>
      </c>
      <c r="AD29" s="90">
        <v>0.1</v>
      </c>
      <c r="AE29" s="96">
        <v>0</v>
      </c>
      <c r="AG29" s="45">
        <f t="shared" si="2"/>
        <v>18</v>
      </c>
      <c r="AH29" s="281"/>
      <c r="AI29" s="97"/>
      <c r="AJ29" s="55">
        <f t="shared" si="3"/>
      </c>
      <c r="AK29" s="97"/>
      <c r="AL29" s="55">
        <f t="shared" si="4"/>
      </c>
      <c r="AM29" s="97"/>
      <c r="AN29" s="55">
        <f t="shared" si="5"/>
      </c>
      <c r="AO29" s="109"/>
      <c r="AQ29" s="99"/>
      <c r="AR29" s="55">
        <f t="shared" si="6"/>
      </c>
      <c r="AS29" s="97"/>
      <c r="AT29" s="55">
        <f t="shared" si="7"/>
      </c>
      <c r="AU29" s="97"/>
      <c r="AV29" s="55">
        <f t="shared" si="8"/>
      </c>
      <c r="AX29" s="99"/>
      <c r="AY29" s="100"/>
      <c r="AZ29" s="101"/>
      <c r="BA29" s="97"/>
      <c r="BB29" s="101"/>
      <c r="BC29" s="97"/>
      <c r="BD29" s="97"/>
      <c r="BE29" s="102"/>
      <c r="BG29" s="99"/>
      <c r="BH29" s="83"/>
      <c r="BI29" s="103"/>
      <c r="BK29" s="17"/>
      <c r="BL29" s="19"/>
      <c r="BM29" s="26" t="s">
        <v>86</v>
      </c>
      <c r="BN29" s="20"/>
      <c r="BO29" s="153" t="s">
        <v>131</v>
      </c>
      <c r="BP29" s="26"/>
      <c r="BQ29" s="269" t="s">
        <v>150</v>
      </c>
      <c r="BR29" s="269" t="s">
        <v>150</v>
      </c>
      <c r="BS29" s="269" t="s">
        <v>150</v>
      </c>
      <c r="BT29" s="271"/>
      <c r="BU29" s="269" t="s">
        <v>150</v>
      </c>
      <c r="BV29" s="154" t="s">
        <v>146</v>
      </c>
      <c r="BW29" s="154">
        <v>0.3</v>
      </c>
      <c r="BX29" s="154" t="s">
        <v>128</v>
      </c>
      <c r="BY29" s="26"/>
      <c r="BZ29" s="269" t="s">
        <v>150</v>
      </c>
      <c r="CA29" s="270" t="s">
        <v>48</v>
      </c>
      <c r="CB29" s="154" t="s">
        <v>23</v>
      </c>
      <c r="CC29" s="136"/>
      <c r="CP29" s="17"/>
      <c r="CQ29" s="17"/>
      <c r="CR29" s="17"/>
      <c r="CS29" s="11"/>
      <c r="CT29" s="11"/>
      <c r="CU29" s="11"/>
      <c r="CV29" s="11"/>
      <c r="CW29" s="11"/>
      <c r="CX29" s="11"/>
      <c r="CY29" s="11"/>
      <c r="CZ29" s="11"/>
    </row>
    <row r="30" spans="1:104" ht="18" customHeight="1">
      <c r="A30" s="22">
        <v>19</v>
      </c>
      <c r="C30" s="84">
        <v>3069235</v>
      </c>
      <c r="D30" s="137">
        <f t="shared" si="0"/>
        <v>2.742</v>
      </c>
      <c r="E30" s="139">
        <v>4</v>
      </c>
      <c r="F30" s="140">
        <v>0.7</v>
      </c>
      <c r="G30" s="81" t="str">
        <f t="shared" si="1"/>
        <v>0.00</v>
      </c>
      <c r="H30" s="84">
        <v>0</v>
      </c>
      <c r="I30" s="85">
        <v>0</v>
      </c>
      <c r="K30" s="86" t="s">
        <v>209</v>
      </c>
      <c r="L30" s="84">
        <v>52</v>
      </c>
      <c r="M30" s="87">
        <v>0</v>
      </c>
      <c r="O30" s="106"/>
      <c r="Q30" s="107">
        <v>21</v>
      </c>
      <c r="R30" s="152">
        <v>0.25</v>
      </c>
      <c r="S30" s="108"/>
      <c r="U30" s="92">
        <v>6.92</v>
      </c>
      <c r="V30" s="93">
        <v>6.85</v>
      </c>
      <c r="W30" s="94">
        <v>6.7</v>
      </c>
      <c r="Y30" s="89">
        <v>17.6</v>
      </c>
      <c r="Z30" s="95">
        <v>18.1</v>
      </c>
      <c r="AA30" s="91">
        <v>18.6</v>
      </c>
      <c r="AC30" s="92">
        <v>2</v>
      </c>
      <c r="AD30" s="90">
        <v>0.1</v>
      </c>
      <c r="AE30" s="96">
        <v>0</v>
      </c>
      <c r="AG30" s="45">
        <f t="shared" si="2"/>
        <v>19</v>
      </c>
      <c r="AH30" s="281"/>
      <c r="AI30" s="97"/>
      <c r="AJ30" s="55">
        <f t="shared" si="3"/>
      </c>
      <c r="AK30" s="97"/>
      <c r="AL30" s="55">
        <f t="shared" si="4"/>
      </c>
      <c r="AM30" s="97"/>
      <c r="AN30" s="55">
        <f t="shared" si="5"/>
      </c>
      <c r="AO30" s="109"/>
      <c r="AQ30" s="99"/>
      <c r="AR30" s="55">
        <f t="shared" si="6"/>
      </c>
      <c r="AS30" s="97"/>
      <c r="AT30" s="55">
        <f t="shared" si="7"/>
      </c>
      <c r="AU30" s="97"/>
      <c r="AV30" s="55">
        <f t="shared" si="8"/>
      </c>
      <c r="AX30" s="99"/>
      <c r="AY30" s="100"/>
      <c r="AZ30" s="101"/>
      <c r="BA30" s="97"/>
      <c r="BB30" s="101"/>
      <c r="BC30" s="97"/>
      <c r="BD30" s="97"/>
      <c r="BE30" s="102"/>
      <c r="BG30" s="99"/>
      <c r="BH30" s="83"/>
      <c r="BI30" s="103"/>
      <c r="BK30" s="17"/>
      <c r="BL30" s="61"/>
      <c r="BM30" s="44"/>
      <c r="BN30" s="44"/>
      <c r="BO30" s="44"/>
      <c r="BP30" s="44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63"/>
      <c r="CB30" s="43"/>
      <c r="CC30" s="64"/>
      <c r="CP30" s="17"/>
      <c r="CQ30" s="17"/>
      <c r="CR30" s="17"/>
      <c r="CS30" s="11"/>
      <c r="CT30" s="11"/>
      <c r="CU30" s="11"/>
      <c r="CV30" s="11"/>
      <c r="CW30" s="11"/>
      <c r="CX30" s="11"/>
      <c r="CY30" s="11"/>
      <c r="CZ30" s="11"/>
    </row>
    <row r="31" spans="1:104" ht="18" customHeight="1">
      <c r="A31" s="22">
        <v>20</v>
      </c>
      <c r="C31" s="112">
        <v>3071743</v>
      </c>
      <c r="D31" s="138">
        <f t="shared" si="0"/>
        <v>2.508</v>
      </c>
      <c r="E31" s="141">
        <v>4</v>
      </c>
      <c r="F31" s="142">
        <v>0.6</v>
      </c>
      <c r="G31" s="183" t="str">
        <f t="shared" si="1"/>
        <v>0.00</v>
      </c>
      <c r="H31" s="112">
        <v>5250</v>
      </c>
      <c r="I31" s="113">
        <v>4750</v>
      </c>
      <c r="K31" s="114" t="s">
        <v>209</v>
      </c>
      <c r="L31" s="112">
        <v>58</v>
      </c>
      <c r="M31" s="115">
        <v>0</v>
      </c>
      <c r="O31" s="116"/>
      <c r="Q31" s="258">
        <v>22</v>
      </c>
      <c r="R31" s="259">
        <v>0.32</v>
      </c>
      <c r="S31" s="264">
        <v>458</v>
      </c>
      <c r="U31" s="117">
        <v>7.12</v>
      </c>
      <c r="V31" s="118">
        <v>6.91</v>
      </c>
      <c r="W31" s="119">
        <v>6.85</v>
      </c>
      <c r="Y31" s="120">
        <v>18.1</v>
      </c>
      <c r="Z31" s="121">
        <v>17.4</v>
      </c>
      <c r="AA31" s="122">
        <v>18</v>
      </c>
      <c r="AC31" s="117">
        <v>11</v>
      </c>
      <c r="AD31" s="123">
        <v>0</v>
      </c>
      <c r="AE31" s="124">
        <v>0</v>
      </c>
      <c r="AG31" s="45">
        <f t="shared" si="2"/>
        <v>20</v>
      </c>
      <c r="AH31" s="281"/>
      <c r="AI31" s="125"/>
      <c r="AJ31" s="65">
        <f t="shared" si="3"/>
      </c>
      <c r="AK31" s="125"/>
      <c r="AL31" s="65">
        <f t="shared" si="4"/>
      </c>
      <c r="AM31" s="125"/>
      <c r="AN31" s="65">
        <f t="shared" si="5"/>
      </c>
      <c r="AO31" s="126"/>
      <c r="AQ31" s="127"/>
      <c r="AR31" s="65">
        <f t="shared" si="6"/>
      </c>
      <c r="AS31" s="125"/>
      <c r="AT31" s="65">
        <f t="shared" si="7"/>
      </c>
      <c r="AU31" s="125"/>
      <c r="AV31" s="65">
        <f t="shared" si="8"/>
      </c>
      <c r="AX31" s="127">
        <v>56669</v>
      </c>
      <c r="AY31" s="128">
        <v>4</v>
      </c>
      <c r="AZ31" s="129">
        <v>3.5</v>
      </c>
      <c r="BA31" s="125">
        <v>40.3</v>
      </c>
      <c r="BB31" s="129">
        <v>28</v>
      </c>
      <c r="BC31" s="125">
        <v>24</v>
      </c>
      <c r="BD31" s="125"/>
      <c r="BE31" s="130"/>
      <c r="BG31" s="127">
        <v>24</v>
      </c>
      <c r="BH31" s="110" t="s">
        <v>210</v>
      </c>
      <c r="BI31" s="131" t="s">
        <v>211</v>
      </c>
      <c r="CP31" s="17"/>
      <c r="CQ31" s="17"/>
      <c r="CR31" s="17"/>
      <c r="CS31" s="11"/>
      <c r="CT31" s="11"/>
      <c r="CU31" s="11"/>
      <c r="CV31" s="11"/>
      <c r="CW31" s="11"/>
      <c r="CX31" s="11"/>
      <c r="CY31" s="11"/>
      <c r="CZ31" s="11"/>
    </row>
    <row r="32" spans="1:104" ht="18" customHeight="1">
      <c r="A32" s="22">
        <v>21</v>
      </c>
      <c r="B32" s="309" t="s">
        <v>218</v>
      </c>
      <c r="C32" s="84">
        <v>3074298</v>
      </c>
      <c r="D32" s="137">
        <f t="shared" si="0"/>
        <v>2.555</v>
      </c>
      <c r="E32" s="139">
        <v>5</v>
      </c>
      <c r="F32" s="140">
        <v>0.6</v>
      </c>
      <c r="G32" s="81" t="str">
        <f t="shared" si="1"/>
        <v>0.00</v>
      </c>
      <c r="H32" s="84">
        <v>17000</v>
      </c>
      <c r="I32" s="85">
        <v>10000</v>
      </c>
      <c r="K32" s="86" t="s">
        <v>209</v>
      </c>
      <c r="L32" s="84">
        <v>60</v>
      </c>
      <c r="M32" s="87">
        <v>0</v>
      </c>
      <c r="O32" s="106"/>
      <c r="Q32" s="107">
        <v>25</v>
      </c>
      <c r="R32" s="152">
        <v>0.32</v>
      </c>
      <c r="S32" s="108">
        <v>1155</v>
      </c>
      <c r="T32" s="309" t="s">
        <v>218</v>
      </c>
      <c r="U32" s="92">
        <v>7</v>
      </c>
      <c r="V32" s="93">
        <v>6.87</v>
      </c>
      <c r="W32" s="94">
        <v>6.78</v>
      </c>
      <c r="Y32" s="89">
        <v>18.5</v>
      </c>
      <c r="Z32" s="95">
        <v>17.9</v>
      </c>
      <c r="AA32" s="91">
        <v>19</v>
      </c>
      <c r="AC32" s="92">
        <v>4.5</v>
      </c>
      <c r="AD32" s="90">
        <v>0.1</v>
      </c>
      <c r="AE32" s="96">
        <v>0</v>
      </c>
      <c r="AG32" s="45">
        <f t="shared" si="2"/>
        <v>21</v>
      </c>
      <c r="AH32" s="281"/>
      <c r="AI32" s="97"/>
      <c r="AJ32" s="55">
        <f t="shared" si="3"/>
      </c>
      <c r="AK32" s="97"/>
      <c r="AL32" s="55">
        <f t="shared" si="4"/>
      </c>
      <c r="AM32" s="97"/>
      <c r="AN32" s="55">
        <f t="shared" si="5"/>
      </c>
      <c r="AO32" s="109"/>
      <c r="AQ32" s="99"/>
      <c r="AR32" s="55">
        <f t="shared" si="6"/>
      </c>
      <c r="AS32" s="97"/>
      <c r="AT32" s="55">
        <f t="shared" si="7"/>
      </c>
      <c r="AU32" s="97"/>
      <c r="AV32" s="55">
        <f t="shared" si="8"/>
      </c>
      <c r="AX32" s="99"/>
      <c r="AY32" s="100"/>
      <c r="AZ32" s="101"/>
      <c r="BA32" s="97"/>
      <c r="BB32" s="101"/>
      <c r="BC32" s="97"/>
      <c r="BD32" s="97"/>
      <c r="BE32" s="102"/>
      <c r="BG32" s="99"/>
      <c r="BH32" s="83"/>
      <c r="BI32" s="103"/>
      <c r="BK32" s="17"/>
      <c r="BL32" s="49"/>
      <c r="BM32" s="51"/>
      <c r="BN32" s="50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74"/>
      <c r="CB32" s="51"/>
      <c r="CC32" s="52"/>
      <c r="CP32"/>
      <c r="CQ32" s="17"/>
      <c r="CR32" s="17"/>
      <c r="CS32" s="11"/>
      <c r="CT32" s="11"/>
      <c r="CU32" s="11"/>
      <c r="CV32" s="11"/>
      <c r="CW32" s="11"/>
      <c r="CX32" s="11"/>
      <c r="CY32" s="11"/>
      <c r="CZ32" s="11"/>
    </row>
    <row r="33" spans="1:104" ht="18" customHeight="1">
      <c r="A33" s="22">
        <v>22</v>
      </c>
      <c r="C33" s="84">
        <v>3076968</v>
      </c>
      <c r="D33" s="137">
        <f t="shared" si="0"/>
        <v>2.67</v>
      </c>
      <c r="E33" s="139">
        <v>4.4</v>
      </c>
      <c r="F33" s="140">
        <v>0.6</v>
      </c>
      <c r="G33" s="81" t="str">
        <f t="shared" si="1"/>
        <v>0.00</v>
      </c>
      <c r="H33" s="84">
        <v>5050</v>
      </c>
      <c r="I33" s="85">
        <v>10000</v>
      </c>
      <c r="K33" s="86" t="s">
        <v>209</v>
      </c>
      <c r="L33" s="84">
        <v>64</v>
      </c>
      <c r="M33" s="87">
        <v>0</v>
      </c>
      <c r="O33" s="106"/>
      <c r="Q33" s="107">
        <v>24</v>
      </c>
      <c r="R33" s="152">
        <v>0.36</v>
      </c>
      <c r="S33" s="108">
        <v>10</v>
      </c>
      <c r="U33" s="92">
        <v>7.02</v>
      </c>
      <c r="V33" s="93">
        <v>6.94</v>
      </c>
      <c r="W33" s="94">
        <v>6.49</v>
      </c>
      <c r="Y33" s="89">
        <v>18.2</v>
      </c>
      <c r="Z33" s="95">
        <v>17.9</v>
      </c>
      <c r="AA33" s="91">
        <v>18.7</v>
      </c>
      <c r="AC33" s="92">
        <v>5</v>
      </c>
      <c r="AD33" s="90">
        <v>0.01</v>
      </c>
      <c r="AE33" s="96">
        <v>0</v>
      </c>
      <c r="AG33" s="45">
        <f t="shared" si="2"/>
        <v>22</v>
      </c>
      <c r="AH33" s="281"/>
      <c r="AI33" s="97">
        <v>283</v>
      </c>
      <c r="AJ33" s="55">
        <f t="shared" si="3"/>
        <v>6301.7874</v>
      </c>
      <c r="AK33" s="97"/>
      <c r="AL33" s="55">
        <f t="shared" si="4"/>
      </c>
      <c r="AM33" s="97">
        <v>17</v>
      </c>
      <c r="AN33" s="55">
        <f t="shared" si="5"/>
        <v>378.5526</v>
      </c>
      <c r="AO33" s="109">
        <v>13</v>
      </c>
      <c r="AQ33" s="99">
        <v>250</v>
      </c>
      <c r="AR33" s="55">
        <f t="shared" si="6"/>
        <v>5566.95</v>
      </c>
      <c r="AS33" s="97"/>
      <c r="AT33" s="55">
        <f t="shared" si="7"/>
      </c>
      <c r="AU33" s="97">
        <v>26</v>
      </c>
      <c r="AV33" s="55">
        <f t="shared" si="8"/>
        <v>578.9628</v>
      </c>
      <c r="AX33" s="99"/>
      <c r="AY33" s="100"/>
      <c r="AZ33" s="101"/>
      <c r="BA33" s="97"/>
      <c r="BB33" s="101"/>
      <c r="BC33" s="97"/>
      <c r="BD33" s="97"/>
      <c r="BE33" s="102"/>
      <c r="BG33" s="99"/>
      <c r="BH33" s="83"/>
      <c r="BI33" s="103"/>
      <c r="BK33" s="17"/>
      <c r="BL33" s="19"/>
      <c r="BM33" s="56" t="s">
        <v>1</v>
      </c>
      <c r="BN33" s="20"/>
      <c r="BO33" s="57" t="s">
        <v>130</v>
      </c>
      <c r="BP33" s="26"/>
      <c r="BQ33" s="273">
        <f>(D47)</f>
        <v>2.4560666666666666</v>
      </c>
      <c r="BR33" s="273">
        <f>(D45)</f>
        <v>2.9</v>
      </c>
      <c r="BS33" s="26" t="s">
        <v>127</v>
      </c>
      <c r="BT33" s="26"/>
      <c r="BU33" s="271" t="s">
        <v>150</v>
      </c>
      <c r="BV33" s="271" t="s">
        <v>150</v>
      </c>
      <c r="BW33" s="271" t="s">
        <v>150</v>
      </c>
      <c r="BX33" s="271" t="s">
        <v>150</v>
      </c>
      <c r="BY33" s="26"/>
      <c r="BZ33" s="26">
        <v>0</v>
      </c>
      <c r="CA33" s="75" t="s">
        <v>24</v>
      </c>
      <c r="CB33" s="26" t="s">
        <v>25</v>
      </c>
      <c r="CC33" s="136"/>
      <c r="CJ33" s="338" t="s">
        <v>17</v>
      </c>
      <c r="CK33" s="340"/>
      <c r="CP33"/>
      <c r="CQ33" s="17"/>
      <c r="CR33" s="17"/>
      <c r="CS33" s="11"/>
      <c r="CT33" s="11"/>
      <c r="CU33" s="11"/>
      <c r="CV33" s="11"/>
      <c r="CW33" s="11"/>
      <c r="CX33" s="11"/>
      <c r="CY33" s="11"/>
      <c r="CZ33" s="11"/>
    </row>
    <row r="34" spans="1:104" ht="18" customHeight="1">
      <c r="A34" s="22">
        <v>23</v>
      </c>
      <c r="C34" s="84">
        <v>3079536</v>
      </c>
      <c r="D34" s="137">
        <f t="shared" si="0"/>
        <v>2.568</v>
      </c>
      <c r="E34" s="139">
        <v>4.8</v>
      </c>
      <c r="F34" s="140">
        <v>0.6</v>
      </c>
      <c r="G34" s="81" t="str">
        <f t="shared" si="1"/>
        <v>0.00</v>
      </c>
      <c r="H34" s="84">
        <v>1650</v>
      </c>
      <c r="I34" s="85">
        <v>10500</v>
      </c>
      <c r="K34" s="86" t="s">
        <v>209</v>
      </c>
      <c r="L34" s="84">
        <v>63</v>
      </c>
      <c r="M34" s="87">
        <v>0</v>
      </c>
      <c r="O34" s="106"/>
      <c r="Q34" s="107">
        <v>22</v>
      </c>
      <c r="R34" s="152">
        <v>0.38</v>
      </c>
      <c r="S34" s="108">
        <v>10</v>
      </c>
      <c r="U34" s="92">
        <v>6.93</v>
      </c>
      <c r="V34" s="93">
        <v>6.85</v>
      </c>
      <c r="W34" s="94">
        <v>6.37</v>
      </c>
      <c r="Y34" s="89">
        <v>18.3</v>
      </c>
      <c r="Z34" s="95">
        <v>18.3</v>
      </c>
      <c r="AA34" s="91">
        <v>19.4</v>
      </c>
      <c r="AC34" s="92">
        <v>8</v>
      </c>
      <c r="AD34" s="90">
        <v>0.01</v>
      </c>
      <c r="AE34" s="96">
        <v>0.01</v>
      </c>
      <c r="AG34" s="45">
        <f t="shared" si="2"/>
        <v>23</v>
      </c>
      <c r="AH34" s="281"/>
      <c r="AI34" s="97">
        <v>297</v>
      </c>
      <c r="AJ34" s="55">
        <f t="shared" si="3"/>
        <v>6360.88464</v>
      </c>
      <c r="AK34" s="97"/>
      <c r="AL34" s="55">
        <f t="shared" si="4"/>
      </c>
      <c r="AM34" s="97">
        <v>18</v>
      </c>
      <c r="AN34" s="55">
        <f t="shared" si="5"/>
        <v>385.50816000000003</v>
      </c>
      <c r="AO34" s="109">
        <v>14</v>
      </c>
      <c r="AQ34" s="99">
        <v>286</v>
      </c>
      <c r="AR34" s="55">
        <f t="shared" si="6"/>
        <v>6125.2963199999995</v>
      </c>
      <c r="AS34" s="97"/>
      <c r="AT34" s="55">
        <f t="shared" si="7"/>
      </c>
      <c r="AU34" s="97">
        <v>26</v>
      </c>
      <c r="AV34" s="55">
        <f t="shared" si="8"/>
        <v>556.84512</v>
      </c>
      <c r="AX34" s="99">
        <v>57831</v>
      </c>
      <c r="AY34" s="100">
        <v>3</v>
      </c>
      <c r="AZ34" s="101">
        <v>3.5</v>
      </c>
      <c r="BA34" s="97">
        <v>37.2</v>
      </c>
      <c r="BB34" s="101">
        <v>27</v>
      </c>
      <c r="BC34" s="97">
        <v>24</v>
      </c>
      <c r="BD34" s="97"/>
      <c r="BE34" s="102"/>
      <c r="BG34" s="99">
        <v>24</v>
      </c>
      <c r="BH34" s="83" t="s">
        <v>210</v>
      </c>
      <c r="BI34" s="103" t="s">
        <v>211</v>
      </c>
      <c r="BK34" s="17"/>
      <c r="BL34" s="19"/>
      <c r="BM34" s="26" t="s">
        <v>86</v>
      </c>
      <c r="BN34" s="20"/>
      <c r="BO34" s="153" t="s">
        <v>131</v>
      </c>
      <c r="BP34" s="26"/>
      <c r="BQ34" s="274">
        <v>3.85</v>
      </c>
      <c r="BR34" s="154" t="s">
        <v>146</v>
      </c>
      <c r="BS34" s="154" t="s">
        <v>127</v>
      </c>
      <c r="BT34" s="26"/>
      <c r="BU34" s="269" t="s">
        <v>150</v>
      </c>
      <c r="BV34" s="269" t="s">
        <v>150</v>
      </c>
      <c r="BW34" s="269" t="s">
        <v>150</v>
      </c>
      <c r="BX34" s="269" t="s">
        <v>150</v>
      </c>
      <c r="BY34" s="26"/>
      <c r="BZ34" s="269" t="s">
        <v>150</v>
      </c>
      <c r="CA34" s="275" t="s">
        <v>24</v>
      </c>
      <c r="CB34" s="154" t="s">
        <v>25</v>
      </c>
      <c r="CC34" s="136"/>
      <c r="CJ34" s="49"/>
      <c r="CK34" s="76"/>
      <c r="CP34"/>
      <c r="CQ34" s="17"/>
      <c r="CR34" s="17"/>
      <c r="CS34" s="11"/>
      <c r="CT34" s="11"/>
      <c r="CU34" s="11"/>
      <c r="CV34" s="11"/>
      <c r="CW34" s="11"/>
      <c r="CX34" s="11"/>
      <c r="CY34" s="11"/>
      <c r="CZ34" s="11"/>
    </row>
    <row r="35" spans="1:104" ht="18" customHeight="1">
      <c r="A35" s="22">
        <v>24</v>
      </c>
      <c r="C35" s="84">
        <v>3082063</v>
      </c>
      <c r="D35" s="137">
        <f t="shared" si="0"/>
        <v>2.527</v>
      </c>
      <c r="E35" s="139">
        <v>4</v>
      </c>
      <c r="F35" s="140">
        <v>0.6</v>
      </c>
      <c r="G35" s="81" t="str">
        <f t="shared" si="1"/>
        <v>0.00</v>
      </c>
      <c r="H35" s="84">
        <v>4000</v>
      </c>
      <c r="I35" s="85">
        <v>6000</v>
      </c>
      <c r="K35" s="86" t="s">
        <v>209</v>
      </c>
      <c r="L35" s="84">
        <v>59</v>
      </c>
      <c r="M35" s="87">
        <v>0</v>
      </c>
      <c r="O35" s="106"/>
      <c r="Q35" s="107">
        <v>26</v>
      </c>
      <c r="R35" s="152">
        <v>0.26</v>
      </c>
      <c r="S35" s="108">
        <v>37</v>
      </c>
      <c r="U35" s="92">
        <v>7.14</v>
      </c>
      <c r="V35" s="93">
        <v>6.92</v>
      </c>
      <c r="W35" s="94">
        <v>6.62</v>
      </c>
      <c r="Y35" s="89">
        <v>17.4</v>
      </c>
      <c r="Z35" s="95">
        <v>17.7</v>
      </c>
      <c r="AA35" s="91">
        <v>18.7</v>
      </c>
      <c r="AC35" s="92">
        <v>6</v>
      </c>
      <c r="AD35" s="90">
        <v>0.01</v>
      </c>
      <c r="AE35" s="96">
        <v>0</v>
      </c>
      <c r="AG35" s="45">
        <f t="shared" si="2"/>
        <v>24</v>
      </c>
      <c r="AH35" s="281"/>
      <c r="AI35" s="97">
        <v>287</v>
      </c>
      <c r="AJ35" s="55">
        <f t="shared" si="3"/>
        <v>6048.57666</v>
      </c>
      <c r="AK35" s="97">
        <v>166</v>
      </c>
      <c r="AL35" s="55">
        <f t="shared" si="4"/>
        <v>3498.4798800000003</v>
      </c>
      <c r="AM35" s="97">
        <v>16</v>
      </c>
      <c r="AN35" s="55">
        <f t="shared" si="5"/>
        <v>337.20288</v>
      </c>
      <c r="AO35" s="109">
        <v>12</v>
      </c>
      <c r="AQ35" s="99">
        <v>238</v>
      </c>
      <c r="AR35" s="55">
        <f t="shared" si="6"/>
        <v>5015.89284</v>
      </c>
      <c r="AS35" s="97">
        <v>80</v>
      </c>
      <c r="AT35" s="55">
        <f t="shared" si="7"/>
        <v>1686.0144000000003</v>
      </c>
      <c r="AU35" s="97">
        <v>25</v>
      </c>
      <c r="AV35" s="55">
        <f t="shared" si="8"/>
        <v>526.8795</v>
      </c>
      <c r="AX35" s="99"/>
      <c r="AY35" s="100"/>
      <c r="AZ35" s="101"/>
      <c r="BA35" s="97"/>
      <c r="BB35" s="101"/>
      <c r="BC35" s="97"/>
      <c r="BD35" s="97"/>
      <c r="BE35" s="102"/>
      <c r="BG35" s="99"/>
      <c r="BH35" s="83"/>
      <c r="BI35" s="103"/>
      <c r="BK35" s="17"/>
      <c r="BL35" s="61"/>
      <c r="BM35" s="44"/>
      <c r="BN35" s="44"/>
      <c r="BO35" s="44"/>
      <c r="BP35" s="44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63"/>
      <c r="CB35" s="43"/>
      <c r="CC35" s="64"/>
      <c r="CJ35" s="342" t="s">
        <v>145</v>
      </c>
      <c r="CK35" s="343"/>
      <c r="CP35"/>
      <c r="CQ35" s="17"/>
      <c r="CR35" s="17"/>
      <c r="CS35" s="11"/>
      <c r="CT35" s="11"/>
      <c r="CU35" s="11"/>
      <c r="CV35" s="11"/>
      <c r="CW35" s="11"/>
      <c r="CX35" s="11"/>
      <c r="CY35" s="11"/>
      <c r="CZ35" s="11"/>
    </row>
    <row r="36" spans="1:104" ht="18" customHeight="1">
      <c r="A36" s="22">
        <v>25</v>
      </c>
      <c r="C36" s="112">
        <v>3084455</v>
      </c>
      <c r="D36" s="138">
        <f t="shared" si="0"/>
        <v>2.392</v>
      </c>
      <c r="E36" s="141">
        <v>3.8</v>
      </c>
      <c r="F36" s="142">
        <v>0.6</v>
      </c>
      <c r="G36" s="183" t="str">
        <f t="shared" si="1"/>
        <v>0.00</v>
      </c>
      <c r="H36" s="112">
        <v>2000</v>
      </c>
      <c r="I36" s="113">
        <v>1000</v>
      </c>
      <c r="K36" s="114" t="s">
        <v>209</v>
      </c>
      <c r="L36" s="112">
        <v>62</v>
      </c>
      <c r="M36" s="115">
        <v>0</v>
      </c>
      <c r="O36" s="116"/>
      <c r="Q36" s="258">
        <v>23</v>
      </c>
      <c r="R36" s="259">
        <v>0.15</v>
      </c>
      <c r="S36" s="264"/>
      <c r="U36" s="117">
        <v>7.01</v>
      </c>
      <c r="V36" s="118">
        <v>6.92</v>
      </c>
      <c r="W36" s="119">
        <v>6.44</v>
      </c>
      <c r="Y36" s="120">
        <v>16.8</v>
      </c>
      <c r="Z36" s="121">
        <v>17.4</v>
      </c>
      <c r="AA36" s="122">
        <v>18.6</v>
      </c>
      <c r="AC36" s="117">
        <v>17</v>
      </c>
      <c r="AD36" s="123">
        <v>0.01</v>
      </c>
      <c r="AE36" s="124">
        <v>0</v>
      </c>
      <c r="AG36" s="45">
        <f t="shared" si="2"/>
        <v>25</v>
      </c>
      <c r="AH36" s="281"/>
      <c r="AI36" s="125"/>
      <c r="AJ36" s="65">
        <f t="shared" si="3"/>
      </c>
      <c r="AK36" s="125"/>
      <c r="AL36" s="65">
        <f t="shared" si="4"/>
      </c>
      <c r="AM36" s="125"/>
      <c r="AN36" s="65">
        <f t="shared" si="5"/>
      </c>
      <c r="AO36" s="126"/>
      <c r="AQ36" s="127"/>
      <c r="AR36" s="65">
        <f t="shared" si="6"/>
      </c>
      <c r="AS36" s="125"/>
      <c r="AT36" s="65">
        <f t="shared" si="7"/>
      </c>
      <c r="AU36" s="125"/>
      <c r="AV36" s="65">
        <f t="shared" si="8"/>
      </c>
      <c r="AX36" s="127"/>
      <c r="AY36" s="128"/>
      <c r="AZ36" s="129"/>
      <c r="BA36" s="125"/>
      <c r="BB36" s="129"/>
      <c r="BC36" s="125"/>
      <c r="BD36" s="125"/>
      <c r="BE36" s="130"/>
      <c r="BG36" s="127"/>
      <c r="BH36" s="110"/>
      <c r="BI36" s="131"/>
      <c r="CJ36" s="19"/>
      <c r="CK36" s="27"/>
      <c r="CP36"/>
      <c r="CQ36" s="17"/>
      <c r="CR36" s="17"/>
      <c r="CS36" s="11"/>
      <c r="CT36" s="11"/>
      <c r="CU36" s="11"/>
      <c r="CV36" s="11"/>
      <c r="CW36" s="11"/>
      <c r="CX36" s="11"/>
      <c r="CY36" s="11"/>
      <c r="CZ36" s="11"/>
    </row>
    <row r="37" spans="1:104" ht="18" customHeight="1">
      <c r="A37" s="22">
        <v>26</v>
      </c>
      <c r="C37" s="84">
        <v>3086787</v>
      </c>
      <c r="D37" s="137">
        <f t="shared" si="0"/>
        <v>2.332</v>
      </c>
      <c r="E37" s="139">
        <v>4</v>
      </c>
      <c r="F37" s="140">
        <v>0.6</v>
      </c>
      <c r="G37" s="81" t="str">
        <f t="shared" si="1"/>
        <v>0.00</v>
      </c>
      <c r="H37" s="84">
        <v>0</v>
      </c>
      <c r="I37" s="85">
        <v>0</v>
      </c>
      <c r="K37" s="86" t="s">
        <v>209</v>
      </c>
      <c r="L37" s="84">
        <v>63</v>
      </c>
      <c r="M37" s="87">
        <v>0</v>
      </c>
      <c r="O37" s="106"/>
      <c r="Q37" s="107">
        <v>22</v>
      </c>
      <c r="R37" s="152">
        <v>0.23</v>
      </c>
      <c r="S37" s="108"/>
      <c r="U37" s="92">
        <v>7.28</v>
      </c>
      <c r="V37" s="93">
        <v>6.97</v>
      </c>
      <c r="W37" s="94">
        <v>6.61</v>
      </c>
      <c r="Y37" s="89">
        <v>17</v>
      </c>
      <c r="Z37" s="95">
        <v>17.6</v>
      </c>
      <c r="AA37" s="91">
        <v>18.9</v>
      </c>
      <c r="AC37" s="92">
        <v>10</v>
      </c>
      <c r="AD37" s="90">
        <v>0</v>
      </c>
      <c r="AE37" s="96">
        <v>0</v>
      </c>
      <c r="AG37" s="45">
        <f t="shared" si="2"/>
        <v>26</v>
      </c>
      <c r="AH37" s="281"/>
      <c r="AI37" s="97"/>
      <c r="AJ37" s="55">
        <f t="shared" si="3"/>
      </c>
      <c r="AK37" s="97"/>
      <c r="AL37" s="55">
        <f t="shared" si="4"/>
      </c>
      <c r="AM37" s="97"/>
      <c r="AN37" s="55">
        <f t="shared" si="5"/>
      </c>
      <c r="AO37" s="109"/>
      <c r="AQ37" s="99"/>
      <c r="AR37" s="55">
        <f t="shared" si="6"/>
      </c>
      <c r="AS37" s="97"/>
      <c r="AT37" s="55">
        <f t="shared" si="7"/>
      </c>
      <c r="AU37" s="97"/>
      <c r="AV37" s="55">
        <f t="shared" si="8"/>
      </c>
      <c r="AX37" s="99"/>
      <c r="AY37" s="100"/>
      <c r="AZ37" s="101"/>
      <c r="BA37" s="97"/>
      <c r="BB37" s="101"/>
      <c r="BC37" s="97"/>
      <c r="BD37" s="97"/>
      <c r="BE37" s="102"/>
      <c r="BG37" s="99"/>
      <c r="BH37" s="83"/>
      <c r="BI37" s="103"/>
      <c r="BK37" s="17"/>
      <c r="BL37" s="49"/>
      <c r="BM37" s="51"/>
      <c r="BN37" s="50"/>
      <c r="BO37" s="51"/>
      <c r="BP37" s="51"/>
      <c r="BQ37" s="51"/>
      <c r="BR37" s="51"/>
      <c r="BS37" s="51"/>
      <c r="BT37" s="51"/>
      <c r="BU37" s="77"/>
      <c r="BV37" s="51"/>
      <c r="BW37" s="51"/>
      <c r="BX37" s="51"/>
      <c r="BY37" s="51"/>
      <c r="BZ37" s="51"/>
      <c r="CA37" s="67"/>
      <c r="CB37" s="51"/>
      <c r="CC37" s="52"/>
      <c r="CJ37" s="348">
        <f>(IF(((SUM(AJ12:AJ42))=0)," ",(((AJ47-(D47*AO47*8.346))/AJ47)*100)))</f>
        <v>95.95935565279855</v>
      </c>
      <c r="CK37" s="349"/>
      <c r="CP37"/>
      <c r="CQ37" s="17"/>
      <c r="CR37" s="17"/>
      <c r="CS37" s="11"/>
      <c r="CT37" s="11"/>
      <c r="CU37" s="11"/>
      <c r="CV37" s="11"/>
      <c r="CW37" s="11"/>
      <c r="CX37" s="11"/>
      <c r="CY37" s="11"/>
      <c r="CZ37" s="11"/>
    </row>
    <row r="38" spans="1:104" ht="18" customHeight="1">
      <c r="A38" s="22">
        <v>27</v>
      </c>
      <c r="C38" s="84">
        <v>3089085</v>
      </c>
      <c r="D38" s="137">
        <f t="shared" si="0"/>
        <v>2.298</v>
      </c>
      <c r="E38" s="139">
        <v>4</v>
      </c>
      <c r="F38" s="140">
        <v>0.6</v>
      </c>
      <c r="G38" s="81" t="str">
        <f t="shared" si="1"/>
        <v>0.00</v>
      </c>
      <c r="H38" s="84">
        <v>3800</v>
      </c>
      <c r="I38" s="85">
        <v>5250</v>
      </c>
      <c r="K38" s="86" t="s">
        <v>209</v>
      </c>
      <c r="L38" s="84">
        <v>59</v>
      </c>
      <c r="M38" s="87">
        <v>0</v>
      </c>
      <c r="O38" s="106"/>
      <c r="Q38" s="107">
        <v>21</v>
      </c>
      <c r="R38" s="152">
        <v>0.3</v>
      </c>
      <c r="S38" s="108">
        <v>3</v>
      </c>
      <c r="U38" s="92">
        <v>6.94</v>
      </c>
      <c r="V38" s="93">
        <v>6.92</v>
      </c>
      <c r="W38" s="94">
        <v>6.63</v>
      </c>
      <c r="Y38" s="89">
        <v>17.9</v>
      </c>
      <c r="Z38" s="95">
        <v>17.6</v>
      </c>
      <c r="AA38" s="91">
        <v>18.5</v>
      </c>
      <c r="AC38" s="92">
        <v>8</v>
      </c>
      <c r="AD38" s="90">
        <v>0.01</v>
      </c>
      <c r="AE38" s="96">
        <v>0</v>
      </c>
      <c r="AG38" s="45">
        <f t="shared" si="2"/>
        <v>27</v>
      </c>
      <c r="AH38" s="281"/>
      <c r="AI38" s="97"/>
      <c r="AJ38" s="55">
        <f t="shared" si="3"/>
      </c>
      <c r="AK38" s="97"/>
      <c r="AL38" s="55">
        <f t="shared" si="4"/>
      </c>
      <c r="AM38" s="97"/>
      <c r="AN38" s="55">
        <f t="shared" si="5"/>
      </c>
      <c r="AO38" s="109"/>
      <c r="AQ38" s="99"/>
      <c r="AR38" s="55">
        <f t="shared" si="6"/>
      </c>
      <c r="AS38" s="97"/>
      <c r="AT38" s="55">
        <f t="shared" si="7"/>
      </c>
      <c r="AU38" s="97"/>
      <c r="AV38" s="55">
        <f t="shared" si="8"/>
      </c>
      <c r="AX38" s="99">
        <v>29043</v>
      </c>
      <c r="AY38" s="100">
        <v>3</v>
      </c>
      <c r="AZ38" s="101">
        <v>2</v>
      </c>
      <c r="BA38" s="97">
        <v>18.6</v>
      </c>
      <c r="BB38" s="101">
        <v>28</v>
      </c>
      <c r="BC38" s="97">
        <v>12</v>
      </c>
      <c r="BD38" s="97"/>
      <c r="BE38" s="102"/>
      <c r="BG38" s="99">
        <v>12</v>
      </c>
      <c r="BH38" s="83" t="s">
        <v>210</v>
      </c>
      <c r="BI38" s="103" t="s">
        <v>211</v>
      </c>
      <c r="BK38" s="17"/>
      <c r="BL38" s="19"/>
      <c r="BM38" s="56" t="s">
        <v>117</v>
      </c>
      <c r="BN38" s="20"/>
      <c r="BO38" s="57" t="s">
        <v>130</v>
      </c>
      <c r="BP38" s="26"/>
      <c r="BQ38" s="271" t="s">
        <v>150</v>
      </c>
      <c r="BR38" s="271" t="s">
        <v>150</v>
      </c>
      <c r="BS38" s="271" t="s">
        <v>150</v>
      </c>
      <c r="BT38" s="26"/>
      <c r="BU38" s="68">
        <f>(AN49)</f>
        <v>94.68319393015402</v>
      </c>
      <c r="BV38" s="271" t="s">
        <v>150</v>
      </c>
      <c r="BW38" s="271" t="s">
        <v>150</v>
      </c>
      <c r="BX38" s="26" t="s">
        <v>129</v>
      </c>
      <c r="BY38" s="26"/>
      <c r="BZ38" s="26">
        <v>0</v>
      </c>
      <c r="CA38" s="266" t="s">
        <v>49</v>
      </c>
      <c r="CB38" s="26" t="s">
        <v>26</v>
      </c>
      <c r="CC38" s="136"/>
      <c r="CJ38" s="61"/>
      <c r="CK38" s="78"/>
      <c r="CP38"/>
      <c r="CQ38" s="17"/>
      <c r="CR38" s="17"/>
      <c r="CS38" s="11"/>
      <c r="CT38" s="11"/>
      <c r="CU38" s="11"/>
      <c r="CV38" s="11"/>
      <c r="CW38" s="11"/>
      <c r="CX38" s="11"/>
      <c r="CY38" s="11"/>
      <c r="CZ38" s="11"/>
    </row>
    <row r="39" spans="1:104" ht="18" customHeight="1">
      <c r="A39" s="22">
        <v>28</v>
      </c>
      <c r="C39" s="84">
        <v>3091471</v>
      </c>
      <c r="D39" s="137">
        <f t="shared" si="0"/>
        <v>2.386</v>
      </c>
      <c r="E39" s="139">
        <v>4.2</v>
      </c>
      <c r="F39" s="140">
        <v>0.5</v>
      </c>
      <c r="G39" s="81" t="str">
        <f t="shared" si="1"/>
        <v>0.00</v>
      </c>
      <c r="H39" s="84">
        <v>5700</v>
      </c>
      <c r="I39" s="85">
        <v>5000</v>
      </c>
      <c r="K39" s="86" t="s">
        <v>208</v>
      </c>
      <c r="L39" s="84">
        <v>61</v>
      </c>
      <c r="M39" s="87">
        <v>0</v>
      </c>
      <c r="O39" s="106"/>
      <c r="Q39" s="107">
        <v>22</v>
      </c>
      <c r="R39" s="152">
        <v>0.24</v>
      </c>
      <c r="S39" s="108">
        <v>26</v>
      </c>
      <c r="U39" s="92">
        <v>7.17</v>
      </c>
      <c r="V39" s="93">
        <v>6.99</v>
      </c>
      <c r="W39" s="94">
        <v>6.79</v>
      </c>
      <c r="Y39" s="89">
        <v>18</v>
      </c>
      <c r="Z39" s="95">
        <v>18</v>
      </c>
      <c r="AA39" s="91">
        <v>19.2</v>
      </c>
      <c r="AC39" s="92">
        <v>10</v>
      </c>
      <c r="AD39" s="90">
        <v>0.01</v>
      </c>
      <c r="AE39" s="96">
        <v>0</v>
      </c>
      <c r="AG39" s="45">
        <f t="shared" si="2"/>
        <v>28</v>
      </c>
      <c r="AH39" s="281"/>
      <c r="AI39" s="97"/>
      <c r="AJ39" s="55">
        <f t="shared" si="3"/>
      </c>
      <c r="AK39" s="97"/>
      <c r="AL39" s="55">
        <f t="shared" si="4"/>
      </c>
      <c r="AM39" s="97"/>
      <c r="AN39" s="55">
        <f t="shared" si="5"/>
      </c>
      <c r="AO39" s="109"/>
      <c r="AQ39" s="99"/>
      <c r="AR39" s="55">
        <f t="shared" si="6"/>
      </c>
      <c r="AS39" s="97"/>
      <c r="AT39" s="55">
        <f t="shared" si="7"/>
      </c>
      <c r="AU39" s="97"/>
      <c r="AV39" s="55">
        <f t="shared" si="8"/>
      </c>
      <c r="AX39" s="99">
        <v>28882</v>
      </c>
      <c r="AY39" s="100">
        <v>3</v>
      </c>
      <c r="AZ39" s="101">
        <v>2</v>
      </c>
      <c r="BA39" s="97">
        <v>18.6</v>
      </c>
      <c r="BB39" s="101">
        <v>27</v>
      </c>
      <c r="BC39" s="97">
        <v>12</v>
      </c>
      <c r="BD39" s="97"/>
      <c r="BE39" s="102"/>
      <c r="BG39" s="99">
        <v>12</v>
      </c>
      <c r="BH39" s="83" t="s">
        <v>210</v>
      </c>
      <c r="BI39" s="103" t="s">
        <v>211</v>
      </c>
      <c r="BK39" s="17"/>
      <c r="BL39" s="19"/>
      <c r="BM39" s="26" t="s">
        <v>118</v>
      </c>
      <c r="BN39" s="20"/>
      <c r="BO39" s="153" t="s">
        <v>131</v>
      </c>
      <c r="BP39" s="26"/>
      <c r="BQ39" s="269" t="s">
        <v>150</v>
      </c>
      <c r="BR39" s="269" t="s">
        <v>150</v>
      </c>
      <c r="BS39" s="269" t="s">
        <v>150</v>
      </c>
      <c r="BT39" s="26"/>
      <c r="BU39" s="272">
        <v>85</v>
      </c>
      <c r="BV39" s="269" t="s">
        <v>150</v>
      </c>
      <c r="BW39" s="269" t="s">
        <v>150</v>
      </c>
      <c r="BX39" s="154" t="s">
        <v>129</v>
      </c>
      <c r="BY39" s="26"/>
      <c r="BZ39" s="269" t="s">
        <v>150</v>
      </c>
      <c r="CA39" s="270" t="s">
        <v>49</v>
      </c>
      <c r="CB39" s="154" t="s">
        <v>26</v>
      </c>
      <c r="CC39" s="136"/>
      <c r="CP39"/>
      <c r="CQ39" s="17"/>
      <c r="CR39" s="17"/>
      <c r="CS39" s="11"/>
      <c r="CT39" s="11"/>
      <c r="CU39" s="11"/>
      <c r="CV39" s="11"/>
      <c r="CW39" s="11"/>
      <c r="CX39" s="11"/>
      <c r="CY39" s="11"/>
      <c r="CZ39" s="11"/>
    </row>
    <row r="40" spans="1:104" ht="18" customHeight="1">
      <c r="A40" s="22">
        <v>29</v>
      </c>
      <c r="C40" s="84">
        <v>3093782</v>
      </c>
      <c r="D40" s="137">
        <f t="shared" si="0"/>
        <v>2.311</v>
      </c>
      <c r="E40" s="139">
        <v>4</v>
      </c>
      <c r="F40" s="140">
        <v>0.5</v>
      </c>
      <c r="G40" s="81" t="str">
        <f t="shared" si="1"/>
        <v>0.00</v>
      </c>
      <c r="H40" s="84">
        <v>3000</v>
      </c>
      <c r="I40" s="85">
        <v>8750</v>
      </c>
      <c r="K40" s="86" t="s">
        <v>209</v>
      </c>
      <c r="L40" s="84">
        <v>52</v>
      </c>
      <c r="M40" s="87">
        <v>0</v>
      </c>
      <c r="O40" s="106"/>
      <c r="Q40" s="107">
        <v>24</v>
      </c>
      <c r="R40" s="152">
        <v>0.24</v>
      </c>
      <c r="S40" s="108">
        <v>3</v>
      </c>
      <c r="U40" s="92">
        <v>7.11</v>
      </c>
      <c r="V40" s="93">
        <v>7.04</v>
      </c>
      <c r="W40" s="94">
        <v>6.61</v>
      </c>
      <c r="Y40" s="89">
        <v>18</v>
      </c>
      <c r="Z40" s="95">
        <v>17.7</v>
      </c>
      <c r="AA40" s="91">
        <v>18.5</v>
      </c>
      <c r="AC40" s="92">
        <v>4.5</v>
      </c>
      <c r="AD40" s="90">
        <v>0.1</v>
      </c>
      <c r="AE40" s="96">
        <v>0</v>
      </c>
      <c r="AG40" s="45">
        <f t="shared" si="2"/>
        <v>29</v>
      </c>
      <c r="AH40" s="281"/>
      <c r="AI40" s="97">
        <v>303</v>
      </c>
      <c r="AJ40" s="55">
        <f t="shared" si="3"/>
        <v>5839.943219999999</v>
      </c>
      <c r="AK40" s="97"/>
      <c r="AL40" s="55">
        <f t="shared" si="4"/>
      </c>
      <c r="AM40" s="97">
        <v>11</v>
      </c>
      <c r="AN40" s="55">
        <f t="shared" si="5"/>
        <v>212.01113999999998</v>
      </c>
      <c r="AO40" s="109">
        <v>8</v>
      </c>
      <c r="AQ40" s="99">
        <v>224</v>
      </c>
      <c r="AR40" s="55">
        <f t="shared" si="6"/>
        <v>4317.31776</v>
      </c>
      <c r="AS40" s="97"/>
      <c r="AT40" s="55">
        <f t="shared" si="7"/>
      </c>
      <c r="AU40" s="97">
        <v>16</v>
      </c>
      <c r="AV40" s="55">
        <f t="shared" si="8"/>
        <v>308.37984</v>
      </c>
      <c r="AX40" s="99"/>
      <c r="AY40" s="100"/>
      <c r="AZ40" s="101"/>
      <c r="BA40" s="97"/>
      <c r="BB40" s="101"/>
      <c r="BC40" s="97"/>
      <c r="BD40" s="97"/>
      <c r="BE40" s="102"/>
      <c r="BG40" s="99"/>
      <c r="BH40" s="83"/>
      <c r="BI40" s="103"/>
      <c r="BK40" s="17"/>
      <c r="BL40" s="61"/>
      <c r="BM40" s="44"/>
      <c r="BN40" s="44"/>
      <c r="BO40" s="44"/>
      <c r="BP40" s="44"/>
      <c r="BQ40" s="43"/>
      <c r="BR40" s="43"/>
      <c r="BS40" s="43"/>
      <c r="BT40" s="43"/>
      <c r="BU40" s="79"/>
      <c r="BV40" s="43"/>
      <c r="BW40" s="43"/>
      <c r="BX40" s="43"/>
      <c r="BY40" s="43"/>
      <c r="BZ40" s="43"/>
      <c r="CA40" s="63"/>
      <c r="CB40" s="43"/>
      <c r="CC40" s="64"/>
      <c r="CP40"/>
      <c r="CQ40" s="17"/>
      <c r="CR40" s="17"/>
      <c r="CS40" s="11"/>
      <c r="CT40" s="11"/>
      <c r="CU40" s="11"/>
      <c r="CV40" s="11"/>
      <c r="CW40" s="11"/>
      <c r="CX40" s="11"/>
      <c r="CY40" s="11"/>
      <c r="CZ40" s="11"/>
    </row>
    <row r="41" spans="1:104" ht="18" customHeight="1">
      <c r="A41" s="22">
        <v>30</v>
      </c>
      <c r="C41" s="84">
        <v>3096123</v>
      </c>
      <c r="D41" s="137">
        <f t="shared" si="0"/>
        <v>2.341</v>
      </c>
      <c r="E41" s="139">
        <v>4.6</v>
      </c>
      <c r="F41" s="140">
        <v>0.6</v>
      </c>
      <c r="G41" s="81" t="str">
        <f t="shared" si="1"/>
        <v>0.00</v>
      </c>
      <c r="H41" s="84">
        <v>1650</v>
      </c>
      <c r="I41" s="85">
        <v>11250</v>
      </c>
      <c r="K41" s="86" t="s">
        <v>209</v>
      </c>
      <c r="L41" s="84">
        <v>54</v>
      </c>
      <c r="M41" s="87">
        <v>0</v>
      </c>
      <c r="O41" s="106"/>
      <c r="Q41" s="107">
        <v>21</v>
      </c>
      <c r="R41" s="152">
        <v>0.3</v>
      </c>
      <c r="S41" s="108"/>
      <c r="U41" s="92">
        <v>7.12</v>
      </c>
      <c r="V41" s="93">
        <v>7.05</v>
      </c>
      <c r="W41" s="94">
        <v>6.55</v>
      </c>
      <c r="Y41" s="89">
        <v>17.5</v>
      </c>
      <c r="Z41" s="95">
        <v>17.3</v>
      </c>
      <c r="AA41" s="91">
        <v>17.8</v>
      </c>
      <c r="AC41" s="92">
        <v>10</v>
      </c>
      <c r="AD41" s="90">
        <v>0.01</v>
      </c>
      <c r="AE41" s="96">
        <v>0</v>
      </c>
      <c r="AG41" s="45">
        <f t="shared" si="2"/>
        <v>30</v>
      </c>
      <c r="AH41" s="281"/>
      <c r="AI41" s="97">
        <v>198</v>
      </c>
      <c r="AJ41" s="55">
        <f t="shared" si="3"/>
        <v>3865.7401200000004</v>
      </c>
      <c r="AK41" s="97"/>
      <c r="AL41" s="55">
        <f t="shared" si="4"/>
      </c>
      <c r="AM41" s="97">
        <v>9</v>
      </c>
      <c r="AN41" s="55">
        <f t="shared" si="5"/>
        <v>175.71546</v>
      </c>
      <c r="AO41" s="109"/>
      <c r="AQ41" s="99">
        <v>296</v>
      </c>
      <c r="AR41" s="55">
        <f t="shared" si="6"/>
        <v>5779.0862400000005</v>
      </c>
      <c r="AS41" s="97"/>
      <c r="AT41" s="55">
        <f t="shared" si="7"/>
      </c>
      <c r="AU41" s="97">
        <v>15</v>
      </c>
      <c r="AV41" s="55">
        <f t="shared" si="8"/>
        <v>292.8591</v>
      </c>
      <c r="AX41" s="99">
        <v>49949</v>
      </c>
      <c r="AY41" s="100">
        <v>3</v>
      </c>
      <c r="AZ41" s="101">
        <v>3.5</v>
      </c>
      <c r="BA41" s="97">
        <v>34.1</v>
      </c>
      <c r="BB41" s="101">
        <v>30</v>
      </c>
      <c r="BC41" s="97">
        <v>24</v>
      </c>
      <c r="BD41" s="97"/>
      <c r="BE41" s="102"/>
      <c r="BG41" s="99">
        <v>24</v>
      </c>
      <c r="BH41" s="83" t="s">
        <v>210</v>
      </c>
      <c r="BI41" s="103" t="s">
        <v>211</v>
      </c>
      <c r="CP41"/>
      <c r="CQ41" s="17"/>
      <c r="CR41" s="17"/>
      <c r="CS41" s="11"/>
      <c r="CT41" s="11"/>
      <c r="CU41" s="11"/>
      <c r="CV41" s="11"/>
      <c r="CW41" s="11"/>
      <c r="CX41" s="11"/>
      <c r="CY41" s="11"/>
      <c r="CZ41" s="11"/>
    </row>
    <row r="42" spans="1:104" ht="18" customHeight="1">
      <c r="A42" s="22">
        <v>31</v>
      </c>
      <c r="C42" s="112"/>
      <c r="D42" s="138" t="str">
        <f t="shared" si="0"/>
        <v> </v>
      </c>
      <c r="E42" s="141"/>
      <c r="F42" s="142"/>
      <c r="G42" s="183" t="str">
        <f t="shared" si="1"/>
        <v> </v>
      </c>
      <c r="H42" s="112"/>
      <c r="I42" s="113"/>
      <c r="K42" s="114"/>
      <c r="L42" s="112"/>
      <c r="M42" s="115"/>
      <c r="O42" s="116"/>
      <c r="Q42" s="258"/>
      <c r="R42" s="259"/>
      <c r="S42" s="113"/>
      <c r="U42" s="133"/>
      <c r="V42" s="134"/>
      <c r="W42" s="135"/>
      <c r="Y42" s="132"/>
      <c r="Z42" s="112"/>
      <c r="AA42" s="113"/>
      <c r="AC42" s="133"/>
      <c r="AD42" s="111"/>
      <c r="AE42" s="115"/>
      <c r="AG42" s="45">
        <f t="shared" si="2"/>
        <v>31</v>
      </c>
      <c r="AH42" s="281"/>
      <c r="AI42" s="125"/>
      <c r="AJ42" s="65">
        <f t="shared" si="3"/>
      </c>
      <c r="AK42" s="125"/>
      <c r="AL42" s="65">
        <f t="shared" si="4"/>
      </c>
      <c r="AM42" s="125"/>
      <c r="AN42" s="65">
        <f t="shared" si="5"/>
      </c>
      <c r="AO42" s="126"/>
      <c r="AQ42" s="127"/>
      <c r="AR42" s="65">
        <f t="shared" si="6"/>
      </c>
      <c r="AS42" s="125"/>
      <c r="AT42" s="65">
        <f t="shared" si="7"/>
      </c>
      <c r="AU42" s="125"/>
      <c r="AV42" s="65">
        <f t="shared" si="8"/>
      </c>
      <c r="AX42" s="127"/>
      <c r="AY42" s="128"/>
      <c r="AZ42" s="129"/>
      <c r="BA42" s="125"/>
      <c r="BB42" s="129"/>
      <c r="BC42" s="125"/>
      <c r="BD42" s="125"/>
      <c r="BE42" s="130"/>
      <c r="BG42" s="127"/>
      <c r="BH42" s="110"/>
      <c r="BI42" s="131"/>
      <c r="BK42" s="17"/>
      <c r="BL42" s="49"/>
      <c r="BM42" s="51"/>
      <c r="BN42" s="50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67"/>
      <c r="CB42" s="51"/>
      <c r="CC42" s="52"/>
      <c r="CP42"/>
      <c r="CQ42" s="17"/>
      <c r="CR42" s="17"/>
      <c r="CS42" s="11"/>
      <c r="CT42" s="11"/>
      <c r="CU42" s="11"/>
      <c r="CV42" s="11"/>
      <c r="CW42" s="11"/>
      <c r="CX42" s="11"/>
      <c r="CY42" s="11"/>
      <c r="CZ42" s="11"/>
    </row>
    <row r="43" spans="1:104" ht="18" customHeight="1">
      <c r="A43" s="22"/>
      <c r="C43" s="188"/>
      <c r="D43" s="189"/>
      <c r="E43" s="189" t="s">
        <v>2</v>
      </c>
      <c r="F43" s="189"/>
      <c r="G43" s="190"/>
      <c r="H43" s="188" t="s">
        <v>2</v>
      </c>
      <c r="I43" s="188" t="s">
        <v>2</v>
      </c>
      <c r="K43" s="51"/>
      <c r="L43" s="188"/>
      <c r="M43" s="190"/>
      <c r="O43" s="191"/>
      <c r="Q43" s="188"/>
      <c r="R43" s="190"/>
      <c r="S43" s="188"/>
      <c r="U43" s="191"/>
      <c r="V43" s="191"/>
      <c r="W43" s="191"/>
      <c r="Y43" s="188"/>
      <c r="Z43" s="188"/>
      <c r="AA43" s="188"/>
      <c r="AC43" s="191"/>
      <c r="AD43" s="190"/>
      <c r="AE43" s="190"/>
      <c r="AG43" s="45"/>
      <c r="AI43" s="192"/>
      <c r="AJ43" s="192"/>
      <c r="AK43" s="192"/>
      <c r="AL43" s="192"/>
      <c r="AM43" s="192"/>
      <c r="AN43" s="192"/>
      <c r="AO43" s="192"/>
      <c r="AQ43" s="192"/>
      <c r="AR43" s="192"/>
      <c r="AS43" s="192"/>
      <c r="AT43" s="192"/>
      <c r="AU43" s="192"/>
      <c r="AV43" s="192"/>
      <c r="AX43" s="192"/>
      <c r="AY43" s="193"/>
      <c r="AZ43" s="193"/>
      <c r="BA43" s="192"/>
      <c r="BB43" s="193"/>
      <c r="BC43" s="192"/>
      <c r="BD43" s="192"/>
      <c r="BE43" s="194"/>
      <c r="BG43" s="192"/>
      <c r="BH43" s="51"/>
      <c r="BI43" s="51"/>
      <c r="BK43" s="17"/>
      <c r="BL43" s="19"/>
      <c r="BM43" s="56" t="s">
        <v>21</v>
      </c>
      <c r="BN43" s="20"/>
      <c r="BO43" s="57" t="s">
        <v>130</v>
      </c>
      <c r="BP43" s="26"/>
      <c r="BQ43" s="271" t="s">
        <v>150</v>
      </c>
      <c r="BR43" s="271" t="s">
        <v>150</v>
      </c>
      <c r="BS43" s="271" t="s">
        <v>150</v>
      </c>
      <c r="BT43" s="26"/>
      <c r="BU43" s="68">
        <f>(AU49)</f>
        <v>90.71232876712328</v>
      </c>
      <c r="BV43" s="271" t="s">
        <v>150</v>
      </c>
      <c r="BW43" s="271" t="s">
        <v>150</v>
      </c>
      <c r="BX43" s="26" t="s">
        <v>129</v>
      </c>
      <c r="BY43" s="26"/>
      <c r="BZ43" s="26">
        <v>0</v>
      </c>
      <c r="CA43" s="266" t="s">
        <v>49</v>
      </c>
      <c r="CB43" s="26" t="s">
        <v>26</v>
      </c>
      <c r="CC43" s="136"/>
      <c r="CP43"/>
      <c r="CQ43" s="17"/>
      <c r="CR43" s="17"/>
      <c r="CS43" s="11"/>
      <c r="CT43" s="11"/>
      <c r="CU43" s="11"/>
      <c r="CV43" s="11"/>
      <c r="CW43" s="11"/>
      <c r="CX43" s="11"/>
      <c r="CY43" s="11"/>
      <c r="CZ43" s="11"/>
    </row>
    <row r="44" spans="1:104" ht="27.75" customHeight="1">
      <c r="A44" s="22" t="s">
        <v>52</v>
      </c>
      <c r="C44" s="188">
        <f>(IF(((SUM(C12:C42))=0)," ",((MAX(C12:C42))-C11)))</f>
        <v>73682</v>
      </c>
      <c r="D44" s="227">
        <f>(IF(((SUM(D12:D42))=0)," ",(SUM(D12:D42))))</f>
        <v>73.682</v>
      </c>
      <c r="E44" s="196" t="s">
        <v>150</v>
      </c>
      <c r="F44" s="197" t="s">
        <v>150</v>
      </c>
      <c r="G44" s="226">
        <f>(SUM(G12:G42))</f>
        <v>0</v>
      </c>
      <c r="H44" s="188">
        <f>(IF(((SUM(H12:H42))=0)," ",(SUM(H12:H42))))</f>
        <v>80650</v>
      </c>
      <c r="I44" s="195">
        <f>(IF(((SUM(I12:I42))=0)," ",(SUM(I12:I42))))</f>
        <v>180750</v>
      </c>
      <c r="K44" s="199" t="s">
        <v>150</v>
      </c>
      <c r="L44" s="200" t="s">
        <v>150</v>
      </c>
      <c r="M44" s="201">
        <f>(IF(((SUM(M12:M42))=0)," ",(SUM(M11:M42))))</f>
        <v>0.02</v>
      </c>
      <c r="O44" s="202" t="str">
        <f>(IF(((SUM(O12:O42))=0),"0.0",(SUM(O11:O42))))</f>
        <v>0.0</v>
      </c>
      <c r="Q44" s="198">
        <f>(IF(((SUM(Q12:Q42))=0),"0",(SUM(Q11:Q42))))</f>
        <v>624</v>
      </c>
      <c r="R44" s="203" t="s">
        <v>150</v>
      </c>
      <c r="S44" s="204" t="s">
        <v>150</v>
      </c>
      <c r="U44" s="205" t="s">
        <v>150</v>
      </c>
      <c r="V44" s="200" t="s">
        <v>150</v>
      </c>
      <c r="W44" s="206" t="s">
        <v>150</v>
      </c>
      <c r="Y44" s="207" t="s">
        <v>150</v>
      </c>
      <c r="Z44" s="208" t="s">
        <v>150</v>
      </c>
      <c r="AA44" s="204" t="s">
        <v>150</v>
      </c>
      <c r="AC44" s="205" t="s">
        <v>150</v>
      </c>
      <c r="AD44" s="203" t="s">
        <v>150</v>
      </c>
      <c r="AE44" s="209" t="s">
        <v>150</v>
      </c>
      <c r="AG44" s="26" t="str">
        <f>($A44)</f>
        <v>Total</v>
      </c>
      <c r="AI44" s="208" t="s">
        <v>150</v>
      </c>
      <c r="AJ44" s="208" t="s">
        <v>150</v>
      </c>
      <c r="AK44" s="207" t="s">
        <v>150</v>
      </c>
      <c r="AL44" s="204" t="s">
        <v>150</v>
      </c>
      <c r="AM44" s="207" t="s">
        <v>150</v>
      </c>
      <c r="AN44" s="204" t="s">
        <v>150</v>
      </c>
      <c r="AO44" s="210" t="s">
        <v>150</v>
      </c>
      <c r="AQ44" s="207" t="s">
        <v>150</v>
      </c>
      <c r="AR44" s="204" t="s">
        <v>150</v>
      </c>
      <c r="AS44" s="207" t="s">
        <v>150</v>
      </c>
      <c r="AT44" s="204" t="s">
        <v>150</v>
      </c>
      <c r="AU44" s="207" t="s">
        <v>150</v>
      </c>
      <c r="AV44" s="204" t="s">
        <v>150</v>
      </c>
      <c r="AX44" s="198">
        <f>(IF(((SUM(AX12:AX42))=0)," ",(SUM(AX12:AX42))))</f>
        <v>439134</v>
      </c>
      <c r="AY44" s="200" t="s">
        <v>150</v>
      </c>
      <c r="AZ44" s="211">
        <f>(IF(((SUM(AZ12:AZ42))=0)," ",(SUM(AZ12:AZ42))))</f>
        <v>29.75</v>
      </c>
      <c r="BA44" s="198">
        <f>(IF(((SUM(BA12:BA42))=0)," ",(SUM(BA12:BA42))))</f>
        <v>300.7</v>
      </c>
      <c r="BB44" s="206" t="s">
        <v>150</v>
      </c>
      <c r="BC44" s="198">
        <f>(IF(((SUM(BC12:BC42))=0)," ",(SUM(BC12:BC42))))</f>
        <v>210</v>
      </c>
      <c r="BD44" s="188">
        <f>(IF(((SUM(BD12:BD42))=0)," ",(SUM(BD12:BD42))))</f>
        <v>8670.5</v>
      </c>
      <c r="BE44" s="209" t="s">
        <v>150</v>
      </c>
      <c r="BG44" s="198">
        <f>(IF(((SUM(BG12:BG42))=0)," ",(SUM(BG12:BG42))))</f>
        <v>210</v>
      </c>
      <c r="BH44" s="213" t="s">
        <v>150</v>
      </c>
      <c r="BI44" s="214" t="s">
        <v>150</v>
      </c>
      <c r="BK44" s="17"/>
      <c r="BL44" s="19"/>
      <c r="BM44" s="26" t="s">
        <v>118</v>
      </c>
      <c r="BN44" s="20"/>
      <c r="BO44" s="153" t="s">
        <v>131</v>
      </c>
      <c r="BP44" s="26"/>
      <c r="BQ44" s="269" t="s">
        <v>150</v>
      </c>
      <c r="BR44" s="269" t="s">
        <v>150</v>
      </c>
      <c r="BS44" s="269" t="s">
        <v>150</v>
      </c>
      <c r="BT44" s="26"/>
      <c r="BU44" s="272">
        <v>85</v>
      </c>
      <c r="BV44" s="269" t="s">
        <v>150</v>
      </c>
      <c r="BW44" s="269" t="s">
        <v>150</v>
      </c>
      <c r="BX44" s="154" t="s">
        <v>129</v>
      </c>
      <c r="BY44" s="26"/>
      <c r="BZ44" s="269" t="s">
        <v>150</v>
      </c>
      <c r="CA44" s="270" t="s">
        <v>49</v>
      </c>
      <c r="CB44" s="154" t="s">
        <v>26</v>
      </c>
      <c r="CC44" s="136"/>
      <c r="CP44"/>
      <c r="CQ44" s="17"/>
      <c r="CR44" s="17"/>
      <c r="CS44" s="11"/>
      <c r="CT44" s="11"/>
      <c r="CU44" s="11"/>
      <c r="CV44" s="11"/>
      <c r="CW44" s="11"/>
      <c r="CX44" s="11"/>
      <c r="CY44" s="11"/>
      <c r="CZ44" s="11"/>
    </row>
    <row r="45" spans="1:104" ht="27.75" customHeight="1">
      <c r="A45" s="22" t="s">
        <v>53</v>
      </c>
      <c r="C45" s="178" t="s">
        <v>150</v>
      </c>
      <c r="D45" s="216">
        <f>(IF((SUM(D12:D42))=0," ",(MAX(D12:D42))))</f>
        <v>2.9</v>
      </c>
      <c r="E45" s="215">
        <f>(IF((SUM(E12:E42))=0," ",(MAX(E12:E42))))</f>
        <v>6.4</v>
      </c>
      <c r="F45" s="216">
        <f>(IF((SUM(F12:F42))=0," ",(MAX(F12:F42))))</f>
        <v>0.8</v>
      </c>
      <c r="G45" s="215">
        <f>(MAX(G12:G42))</f>
        <v>0</v>
      </c>
      <c r="H45" s="161">
        <f>(IF((SUM(H12:H42))=0," ",(MAX(H12:H42))))</f>
        <v>17000</v>
      </c>
      <c r="I45" s="162">
        <f>(IF((SUM(I12:I42))=0," ",(MAX(I12:I42))))</f>
        <v>11750</v>
      </c>
      <c r="K45" s="179" t="s">
        <v>150</v>
      </c>
      <c r="L45" s="182">
        <f>(IF((SUM(L12:L42))=0," ",(MAX(L12:L42))))</f>
        <v>68</v>
      </c>
      <c r="M45" s="218">
        <f>(IF((SUM(M12:M42))=0," ",(MAX(M12:M42))))</f>
        <v>0.01</v>
      </c>
      <c r="O45" s="219" t="s">
        <v>150</v>
      </c>
      <c r="Q45" s="220" t="s">
        <v>150</v>
      </c>
      <c r="R45" s="183">
        <f>(IF(((SUM(R12:R42))=0),"-",(MAX(R12:R42))))</f>
        <v>0.38</v>
      </c>
      <c r="S45" s="162">
        <f>(IF(((SUM(S12:S42))=0),"-",(MAX(S12:S42))))</f>
        <v>1155</v>
      </c>
      <c r="T45" s="309" t="s">
        <v>218</v>
      </c>
      <c r="U45" s="221">
        <f>(IF((SUM(U12:U42))=0," ",(MAX(U12:U42))))</f>
        <v>7.39</v>
      </c>
      <c r="V45" s="182">
        <f>(IF((SUM(V12:V42))=0," ",(MAX(V12:V42))))</f>
        <v>7.05</v>
      </c>
      <c r="W45" s="222">
        <f>(IF((SUM(W12:W42))=0," ",(MAX(W12:W42))))</f>
        <v>6.85</v>
      </c>
      <c r="Y45" s="217">
        <f>(IF((SUM(Y12:Y42))=0," ",(MAX(Y12:Y42))))</f>
        <v>18.5</v>
      </c>
      <c r="Z45" s="161">
        <f>(IF((SUM(Z12:Z42))=0," ",(MAX(Z12:Z42))))</f>
        <v>18.6</v>
      </c>
      <c r="AA45" s="162">
        <f>(IF((SUM(AA12:AA42))=0," ",(MAX(AA12:AA42))))</f>
        <v>19.9</v>
      </c>
      <c r="AC45" s="221">
        <f>(IF((SUM(AC12:AC42))=0," ",(MAX(AC12:AC42))))</f>
        <v>17</v>
      </c>
      <c r="AD45" s="183">
        <f>(IF((SUM(AD12:AD42))=0," ",(MAX(AD12:AD42))))</f>
        <v>0.1</v>
      </c>
      <c r="AE45" s="218">
        <f>(IF((COUNT(AE12:AE42))=0," ",(MAX(AE12:AE42))))</f>
        <v>0.01</v>
      </c>
      <c r="AG45" s="26" t="str">
        <f>($A45)</f>
        <v>Maximum</v>
      </c>
      <c r="AI45" s="161">
        <f aca="true" t="shared" si="9" ref="AI45:AO45">(IF((SUM(AI12:AI42))=0," ",(MAX(AI12:AI42))))</f>
        <v>312</v>
      </c>
      <c r="AJ45" s="161">
        <f t="shared" si="9"/>
        <v>6360.88464</v>
      </c>
      <c r="AK45" s="217">
        <f t="shared" si="9"/>
        <v>183</v>
      </c>
      <c r="AL45" s="162">
        <f t="shared" si="9"/>
        <v>3736.1865599999996</v>
      </c>
      <c r="AM45" s="217">
        <f t="shared" si="9"/>
        <v>21</v>
      </c>
      <c r="AN45" s="162">
        <f t="shared" si="9"/>
        <v>410.35302</v>
      </c>
      <c r="AO45" s="223">
        <f t="shared" si="9"/>
        <v>17</v>
      </c>
      <c r="AQ45" s="217">
        <f aca="true" t="shared" si="10" ref="AQ45:AV45">(IF((SUM(AQ12:AQ42))=0," ",(MAX(AQ12:AQ42))))</f>
        <v>308</v>
      </c>
      <c r="AR45" s="162">
        <f t="shared" si="10"/>
        <v>6125.2963199999995</v>
      </c>
      <c r="AS45" s="217">
        <f t="shared" si="10"/>
        <v>97</v>
      </c>
      <c r="AT45" s="162">
        <f t="shared" si="10"/>
        <v>2346.042</v>
      </c>
      <c r="AU45" s="217">
        <f t="shared" si="10"/>
        <v>29</v>
      </c>
      <c r="AV45" s="162">
        <f t="shared" si="10"/>
        <v>701.3939999999999</v>
      </c>
      <c r="AX45" s="220" t="s">
        <v>150</v>
      </c>
      <c r="AY45" s="182">
        <f>(IF((SUM(AY12:AY42))=0," ",(MAX(AY12:AY42))))</f>
        <v>5</v>
      </c>
      <c r="AZ45" s="224" t="s">
        <v>150</v>
      </c>
      <c r="BA45" s="220" t="s">
        <v>150</v>
      </c>
      <c r="BB45" s="222">
        <f>(IF((SUM(BB12:BB42))=0," ",(MAX(BB12:BB42))))</f>
        <v>35</v>
      </c>
      <c r="BC45" s="220" t="s">
        <v>150</v>
      </c>
      <c r="BD45" s="178" t="s">
        <v>150</v>
      </c>
      <c r="BE45" s="218">
        <f>(IF((SUM(BE12:BE42))=0," ",(MAX(BE12:BE42))))</f>
        <v>12.41</v>
      </c>
      <c r="BG45" s="220" t="s">
        <v>150</v>
      </c>
      <c r="BH45" s="180" t="s">
        <v>150</v>
      </c>
      <c r="BI45" s="181" t="s">
        <v>150</v>
      </c>
      <c r="BK45" s="17"/>
      <c r="BL45" s="61"/>
      <c r="BM45" s="44"/>
      <c r="BN45" s="44"/>
      <c r="BO45" s="44"/>
      <c r="BP45" s="44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64"/>
      <c r="CP45"/>
      <c r="CQ45" s="17"/>
      <c r="CR45" s="17"/>
      <c r="CS45" s="11"/>
      <c r="CT45" s="11"/>
      <c r="CU45" s="11"/>
      <c r="CV45" s="11"/>
      <c r="CW45" s="11"/>
      <c r="CX45" s="11"/>
      <c r="CY45" s="11"/>
      <c r="CZ45" s="11"/>
    </row>
    <row r="46" spans="1:104" ht="27.75" customHeight="1">
      <c r="A46" s="22" t="s">
        <v>54</v>
      </c>
      <c r="C46" s="208" t="s">
        <v>150</v>
      </c>
      <c r="D46" s="227">
        <f>(IF((SUM(D12:D42))=0," ",(MIN(D12:D42))))</f>
        <v>2.142</v>
      </c>
      <c r="E46" s="226">
        <f>(IF((SUM(E12:E42))=0," ",(MIN(E12:E42))))</f>
        <v>3.8</v>
      </c>
      <c r="F46" s="227">
        <f>(IF((SUM(F12:F42))=0," ",(MIN(F12:F42))))</f>
        <v>0.5</v>
      </c>
      <c r="G46" s="226">
        <f>(MIN(G12:G42))</f>
        <v>0</v>
      </c>
      <c r="H46" s="188">
        <f>(IF((SUM(H12:H42))=0," ",(MIN(H12:H42))))</f>
        <v>0</v>
      </c>
      <c r="I46" s="195">
        <f>(IF((SUM(I12:I42))=0," ",(MIN(I12:I42))))</f>
        <v>0</v>
      </c>
      <c r="K46" s="199" t="s">
        <v>150</v>
      </c>
      <c r="L46" s="191">
        <f>(IF((SUM(L12:L42))=0," ",(MIN(L12:L42))))</f>
        <v>52</v>
      </c>
      <c r="M46" s="201">
        <f>(IF((SUM(M12:M42))=0," ",(MIN(M12:M42))))</f>
        <v>0</v>
      </c>
      <c r="O46" s="228" t="s">
        <v>150</v>
      </c>
      <c r="Q46" s="207" t="s">
        <v>150</v>
      </c>
      <c r="R46" s="190">
        <f>(IF(((SUM(R12:R42))=0),"-",(MIN(R12:R42))))</f>
        <v>0.15</v>
      </c>
      <c r="S46" s="195">
        <f>(IF(((SUM(S12:S42))=0),"-",(MIN(S12:S42))))</f>
        <v>3</v>
      </c>
      <c r="U46" s="229">
        <f>(IF((SUM(U12:U42))=0," ",(MIN(U12:U42))))</f>
        <v>6.66</v>
      </c>
      <c r="V46" s="191">
        <f>(IF((SUM(V12:V42))=0," ",(MIN(V12:V42))))</f>
        <v>6.77</v>
      </c>
      <c r="W46" s="211">
        <f>(IF((SUM(W12:W42))=0," ",(MIN(W12:W42))))</f>
        <v>6.22</v>
      </c>
      <c r="Y46" s="198">
        <f aca="true" t="shared" si="11" ref="Y46:AD46">(IF((SUM(Y12:Y42))=0," ",(MIN(Y12:Y42))))</f>
        <v>16.5</v>
      </c>
      <c r="Z46" s="188">
        <f t="shared" si="11"/>
        <v>17</v>
      </c>
      <c r="AA46" s="195">
        <f t="shared" si="11"/>
        <v>17.1</v>
      </c>
      <c r="AB46" s="265" t="str">
        <f t="shared" si="11"/>
        <v> </v>
      </c>
      <c r="AC46" s="229">
        <f t="shared" si="11"/>
        <v>2</v>
      </c>
      <c r="AD46" s="190">
        <f t="shared" si="11"/>
        <v>0</v>
      </c>
      <c r="AE46" s="201">
        <f>(IF((COUNT(AE12:AE42))=0," ",(MIN(AE12:AE42))))</f>
        <v>0</v>
      </c>
      <c r="AG46" s="26" t="str">
        <f>($A46)</f>
        <v>Minimum</v>
      </c>
      <c r="AI46" s="188">
        <f aca="true" t="shared" si="12" ref="AI46:AO46">(IF((SUM(AI12:AI42))=0," ",(MIN(AI12:AI42))))</f>
        <v>198</v>
      </c>
      <c r="AJ46" s="188">
        <f t="shared" si="12"/>
        <v>3865.7401200000004</v>
      </c>
      <c r="AK46" s="198">
        <f t="shared" si="12"/>
        <v>151</v>
      </c>
      <c r="AL46" s="195">
        <f t="shared" si="12"/>
        <v>2998.4885399999994</v>
      </c>
      <c r="AM46" s="198">
        <f t="shared" si="12"/>
        <v>9</v>
      </c>
      <c r="AN46" s="195">
        <f t="shared" si="12"/>
        <v>175.71546</v>
      </c>
      <c r="AO46" s="230">
        <f t="shared" si="12"/>
        <v>8</v>
      </c>
      <c r="AQ46" s="198">
        <f aca="true" t="shared" si="13" ref="AQ46:AV46">(IF((SUM(AQ12:AQ42))=0," ",(MIN(AQ12:AQ42))))</f>
        <v>192</v>
      </c>
      <c r="AR46" s="195">
        <f t="shared" si="13"/>
        <v>4076.8588799999998</v>
      </c>
      <c r="AS46" s="198">
        <f t="shared" si="13"/>
        <v>80</v>
      </c>
      <c r="AT46" s="195">
        <f t="shared" si="13"/>
        <v>1588.6031999999998</v>
      </c>
      <c r="AU46" s="198">
        <f t="shared" si="13"/>
        <v>15</v>
      </c>
      <c r="AV46" s="195">
        <f t="shared" si="13"/>
        <v>292.8591</v>
      </c>
      <c r="AX46" s="207" t="s">
        <v>150</v>
      </c>
      <c r="AY46" s="191">
        <f>(IF((SUM(AY12:AY42))=0," ",(MIN(AY12:AY42))))</f>
        <v>2</v>
      </c>
      <c r="AZ46" s="206" t="s">
        <v>150</v>
      </c>
      <c r="BA46" s="207" t="s">
        <v>150</v>
      </c>
      <c r="BB46" s="211">
        <f>(IF((SUM(BB12:BB42))=0," ",(MIN(BB12:BB42))))</f>
        <v>27</v>
      </c>
      <c r="BC46" s="207" t="s">
        <v>150</v>
      </c>
      <c r="BD46" s="208" t="s">
        <v>150</v>
      </c>
      <c r="BE46" s="201">
        <f>(IF((SUM(BE12:BE42))=0," ",(MIN(BE12:BE42))))</f>
        <v>12.33</v>
      </c>
      <c r="BG46" s="207" t="s">
        <v>150</v>
      </c>
      <c r="BH46" s="213" t="s">
        <v>150</v>
      </c>
      <c r="BI46" s="214" t="s">
        <v>150</v>
      </c>
      <c r="CP46"/>
      <c r="CQ46" s="17"/>
      <c r="CR46" s="17"/>
      <c r="CS46" s="11"/>
      <c r="CT46" s="11"/>
      <c r="CU46" s="11"/>
      <c r="CV46" s="11"/>
      <c r="CW46" s="11"/>
      <c r="CX46" s="11"/>
      <c r="CY46" s="11"/>
      <c r="CZ46" s="11"/>
    </row>
    <row r="47" spans="1:104" ht="27.75" customHeight="1">
      <c r="A47" s="22" t="s">
        <v>67</v>
      </c>
      <c r="C47" s="178" t="s">
        <v>150</v>
      </c>
      <c r="D47" s="216">
        <f>(IF((SUM(D12:D42))=0," ",(AVERAGE(D12:D42))))</f>
        <v>2.4560666666666666</v>
      </c>
      <c r="E47" s="215">
        <f>(IF((SUM(E12:E42))=0," ",(AVERAGE(E12:E42))))</f>
        <v>4.25</v>
      </c>
      <c r="F47" s="216">
        <f>(IF((SUM(F12:F42))=0," ",(AVERAGE(F12:F42))))</f>
        <v>0.6133333333333333</v>
      </c>
      <c r="G47" s="215" t="str">
        <f>(IF((SUM(G12:G42))=0,"0.000",(AVERAGE(G12:G42))))</f>
        <v>0.000</v>
      </c>
      <c r="H47" s="161">
        <f>(IF((SUM(H12:H42))=0," ",(AVERAGE(H12:H42))))</f>
        <v>2688.3333333333335</v>
      </c>
      <c r="I47" s="162">
        <f>(IF((SUM(I12:I42))=0," ",(AVERAGE(I12:I42))))</f>
        <v>6025</v>
      </c>
      <c r="K47" s="179" t="s">
        <v>150</v>
      </c>
      <c r="L47" s="182">
        <f>(IF((SUM(L12:L42))=0," ",(AVERAGE(L12:L42))))</f>
        <v>60.766666666666666</v>
      </c>
      <c r="M47" s="218">
        <f>(IF((SUM(M12:M42))=0," ",(AVERAGE(M12:M42))))</f>
        <v>0.0006666666666666666</v>
      </c>
      <c r="O47" s="219" t="s">
        <v>150</v>
      </c>
      <c r="Q47" s="217">
        <f>(IF((SUM(Q12:Q42))=0," ",(AVERAGE(Q12:Q42))))</f>
        <v>20.8</v>
      </c>
      <c r="R47" s="232" t="s">
        <v>150</v>
      </c>
      <c r="S47" s="233" t="s">
        <v>150</v>
      </c>
      <c r="U47" s="221">
        <f>(IF((SUM(U12:U42))=0," ",(AVERAGE(U12:U42))))</f>
        <v>7.037333333333334</v>
      </c>
      <c r="V47" s="182">
        <f>(IF((SUM(V12:V42))=0," ",(AVERAGE(V12:V42))))</f>
        <v>6.896666666666665</v>
      </c>
      <c r="W47" s="222">
        <f>(IF((SUM(W12:W42))=0," ",(AVERAGE(W12:W42))))</f>
        <v>6.542666666666668</v>
      </c>
      <c r="Y47" s="217">
        <f>(IF((SUM(Y12:Y42))=0," ",(AVERAGE(Y12:Y42))))</f>
        <v>17.72666666666667</v>
      </c>
      <c r="Z47" s="161">
        <f>(IF((SUM(Z12:Z42))=0," ",(AVERAGE(Z12:Z42))))</f>
        <v>17.743333333333336</v>
      </c>
      <c r="AA47" s="162">
        <f>(IF((SUM(AA12:AA42))=0," ",(AVERAGE(AA12:AA42))))</f>
        <v>18.73333333333333</v>
      </c>
      <c r="AC47" s="221">
        <f>(IF((SUM(AC12:AC42))=0," ",(AVERAGE(AC12:AC42))))</f>
        <v>7.583333333333333</v>
      </c>
      <c r="AD47" s="183">
        <f>(IF((SUM(AD12:AD42))=0," ",(AVERAGE(AD12:AD42))))</f>
        <v>0.023333333333333334</v>
      </c>
      <c r="AE47" s="218">
        <f>(IF((COUNT(AE12:AE42))=0," ",(AVERAGE(AE12:AE42))))</f>
        <v>0.001</v>
      </c>
      <c r="AG47" s="26" t="str">
        <f>($A47)</f>
        <v>Average</v>
      </c>
      <c r="AI47" s="161">
        <f aca="true" t="shared" si="14" ref="AI47:AO47">(IF((SUM(AI12:AI42))=0," ",(AVERAGE(AI12:AI42))))</f>
        <v>276.7142857142857</v>
      </c>
      <c r="AJ47" s="161">
        <f t="shared" si="14"/>
        <v>5736.432501428572</v>
      </c>
      <c r="AK47" s="217">
        <f t="shared" si="14"/>
        <v>163.5</v>
      </c>
      <c r="AL47" s="162">
        <f t="shared" si="14"/>
        <v>3489.449745</v>
      </c>
      <c r="AM47" s="217">
        <f t="shared" si="14"/>
        <v>14.642857142857142</v>
      </c>
      <c r="AN47" s="162">
        <f t="shared" si="14"/>
        <v>304.9949914285714</v>
      </c>
      <c r="AO47" s="223">
        <f t="shared" si="14"/>
        <v>11.307692307692308</v>
      </c>
      <c r="AQ47" s="217">
        <f aca="true" t="shared" si="15" ref="AQ47:AV47">(IF((SUM(AQ12:AQ42))=0," ",(AVERAGE(AQ12:AQ42))))</f>
        <v>260.7142857142857</v>
      </c>
      <c r="AR47" s="162">
        <f t="shared" si="15"/>
        <v>5396.350534285714</v>
      </c>
      <c r="AS47" s="217">
        <f t="shared" si="15"/>
        <v>85.5</v>
      </c>
      <c r="AT47" s="162">
        <f t="shared" si="15"/>
        <v>1839.0116999999998</v>
      </c>
      <c r="AU47" s="217">
        <f t="shared" si="15"/>
        <v>24.214285714285715</v>
      </c>
      <c r="AV47" s="162">
        <f t="shared" si="15"/>
        <v>505.1615442857142</v>
      </c>
      <c r="AX47" s="217">
        <f aca="true" t="shared" si="16" ref="AX47:BE47">(IF((SUM(AX12:AX42))=0," ",(AVERAGE(AX12:AX42))))</f>
        <v>43913.4</v>
      </c>
      <c r="AY47" s="182">
        <f t="shared" si="16"/>
        <v>3.4</v>
      </c>
      <c r="AZ47" s="222">
        <f t="shared" si="16"/>
        <v>2.975</v>
      </c>
      <c r="BA47" s="217">
        <f t="shared" si="16"/>
        <v>30.07</v>
      </c>
      <c r="BB47" s="222">
        <f t="shared" si="16"/>
        <v>30.3</v>
      </c>
      <c r="BC47" s="217">
        <f t="shared" si="16"/>
        <v>21</v>
      </c>
      <c r="BD47" s="161">
        <f t="shared" si="16"/>
        <v>1734.1</v>
      </c>
      <c r="BE47" s="218">
        <f t="shared" si="16"/>
        <v>12.368</v>
      </c>
      <c r="BG47" s="217">
        <f>(IF((SUM(BG12:BG42))=0," ",(AVERAGE(BG12:BG42))))</f>
        <v>21</v>
      </c>
      <c r="BH47" s="180" t="s">
        <v>150</v>
      </c>
      <c r="BI47" s="181" t="s">
        <v>150</v>
      </c>
      <c r="BK47" s="17"/>
      <c r="BL47" s="49"/>
      <c r="BM47" s="50"/>
      <c r="BN47" s="50"/>
      <c r="BO47" s="50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76"/>
      <c r="CP47"/>
      <c r="CQ47" s="17"/>
      <c r="CR47" s="17"/>
      <c r="CS47" s="11"/>
      <c r="CT47" s="11"/>
      <c r="CU47" s="11"/>
      <c r="CV47" s="11"/>
      <c r="CW47" s="11"/>
      <c r="CX47" s="11"/>
      <c r="CY47" s="11"/>
      <c r="CZ47" s="11"/>
    </row>
    <row r="48" spans="1:104" ht="18" customHeight="1">
      <c r="A48" s="22"/>
      <c r="C48" s="26"/>
      <c r="D48" s="234"/>
      <c r="E48" s="234"/>
      <c r="F48" s="234"/>
      <c r="G48" s="235"/>
      <c r="H48" s="185"/>
      <c r="I48" s="185"/>
      <c r="K48" s="26"/>
      <c r="L48" s="185"/>
      <c r="M48" s="235"/>
      <c r="O48" s="82"/>
      <c r="Q48" s="80"/>
      <c r="R48" s="80"/>
      <c r="S48" s="80"/>
      <c r="U48" s="82"/>
      <c r="V48" s="82"/>
      <c r="W48" s="82"/>
      <c r="Y48" s="80"/>
      <c r="Z48" s="80"/>
      <c r="AA48" s="80"/>
      <c r="AC48" s="82"/>
      <c r="AD48" s="81"/>
      <c r="AE48" s="81"/>
      <c r="AG48" s="22"/>
      <c r="AI48" s="17"/>
      <c r="AJ48" s="17"/>
      <c r="AK48" s="17"/>
      <c r="AL48" s="17"/>
      <c r="AM48" s="17"/>
      <c r="AN48" s="17"/>
      <c r="AO48" s="17"/>
      <c r="AQ48" s="17"/>
      <c r="AR48" s="17"/>
      <c r="AS48" s="17"/>
      <c r="AT48" s="17"/>
      <c r="AU48" s="17"/>
      <c r="AV48" s="17" t="s">
        <v>2</v>
      </c>
      <c r="AX48" s="17"/>
      <c r="AY48" s="17"/>
      <c r="AZ48" s="17"/>
      <c r="BA48" s="17"/>
      <c r="BB48" s="17"/>
      <c r="BC48" s="17"/>
      <c r="BD48" s="17"/>
      <c r="BE48" s="17"/>
      <c r="BG48" s="17"/>
      <c r="BH48" s="17"/>
      <c r="BI48" s="17"/>
      <c r="BK48" s="17"/>
      <c r="BL48" s="19"/>
      <c r="BM48" s="20" t="s">
        <v>202</v>
      </c>
      <c r="BN48" s="20"/>
      <c r="BO48" s="57" t="s">
        <v>130</v>
      </c>
      <c r="BP48" s="20"/>
      <c r="BQ48" s="276" t="s">
        <v>203</v>
      </c>
      <c r="BR48" s="271" t="s">
        <v>150</v>
      </c>
      <c r="BS48" s="276" t="s">
        <v>203</v>
      </c>
      <c r="BT48" s="26"/>
      <c r="BU48" s="271" t="s">
        <v>150</v>
      </c>
      <c r="BV48" s="58">
        <f>(S49)</f>
        <v>20.989275015209596</v>
      </c>
      <c r="BW48" s="58">
        <f>(S45)</f>
        <v>1155</v>
      </c>
      <c r="BX48" s="271" t="s">
        <v>150</v>
      </c>
      <c r="BY48" s="26"/>
      <c r="BZ48" s="26">
        <v>1</v>
      </c>
      <c r="CA48" s="75" t="s">
        <v>205</v>
      </c>
      <c r="CB48" s="26" t="s">
        <v>23</v>
      </c>
      <c r="CC48" s="27"/>
      <c r="CP48"/>
      <c r="CQ48" s="17"/>
      <c r="CR48" s="17"/>
      <c r="CS48" s="11"/>
      <c r="CT48" s="11"/>
      <c r="CU48" s="11"/>
      <c r="CV48" s="11"/>
      <c r="CW48" s="11"/>
      <c r="CX48" s="11"/>
      <c r="CY48" s="11"/>
      <c r="CZ48" s="11"/>
    </row>
    <row r="49" spans="1:104" ht="24" customHeight="1">
      <c r="A49" s="83"/>
      <c r="B49" s="281"/>
      <c r="C49" s="83"/>
      <c r="D49" s="283"/>
      <c r="E49" s="283"/>
      <c r="F49" s="283"/>
      <c r="G49" s="284"/>
      <c r="H49" s="84"/>
      <c r="I49" s="84"/>
      <c r="J49" s="281"/>
      <c r="K49" s="83"/>
      <c r="L49" s="84"/>
      <c r="M49" s="284"/>
      <c r="N49" s="281"/>
      <c r="O49" s="285"/>
      <c r="P49" s="281"/>
      <c r="Q49" s="334" t="s">
        <v>90</v>
      </c>
      <c r="R49" s="335"/>
      <c r="S49" s="260">
        <f>(IF(((SUM(S12:S42))=0),"-",(GEOMEAN(S12:S42))))</f>
        <v>20.989275015209596</v>
      </c>
      <c r="T49" s="281"/>
      <c r="U49" s="285"/>
      <c r="V49" s="285"/>
      <c r="W49" s="285"/>
      <c r="X49" s="281"/>
      <c r="Y49" s="84"/>
      <c r="Z49" s="84"/>
      <c r="AA49" s="84"/>
      <c r="AB49" s="281"/>
      <c r="AC49" s="285"/>
      <c r="AD49" s="284"/>
      <c r="AE49" s="284"/>
      <c r="AF49" s="281"/>
      <c r="AG49" s="83"/>
      <c r="AH49" s="281"/>
      <c r="AI49" s="286"/>
      <c r="AJ49" s="83"/>
      <c r="AK49" s="286"/>
      <c r="AL49" s="336" t="s">
        <v>113</v>
      </c>
      <c r="AM49" s="337"/>
      <c r="AN49" s="184">
        <f>(IF(((SUM(AJ12:AJ42))=0)," ",(((AJ47-AN47)/AJ47)*100)))</f>
        <v>94.68319393015402</v>
      </c>
      <c r="AO49" s="286"/>
      <c r="AP49" s="281"/>
      <c r="AQ49" s="286"/>
      <c r="AR49" s="286"/>
      <c r="AS49" s="336" t="s">
        <v>113</v>
      </c>
      <c r="AT49" s="337"/>
      <c r="AU49" s="184">
        <f>(IF(((SUM(AQ12:AQ42))=0)," ",(((AQ47-AU47)/AQ47)*100)))</f>
        <v>90.71232876712328</v>
      </c>
      <c r="AV49" s="282"/>
      <c r="AW49" s="281"/>
      <c r="AX49" s="286"/>
      <c r="AY49" s="286"/>
      <c r="AZ49" s="286"/>
      <c r="BA49" s="286"/>
      <c r="BB49" s="286"/>
      <c r="BC49" s="286"/>
      <c r="BD49" s="286"/>
      <c r="BE49" s="286"/>
      <c r="BF49" s="281"/>
      <c r="BG49" s="286"/>
      <c r="BH49" s="286"/>
      <c r="BI49" s="286"/>
      <c r="BJ49" s="281"/>
      <c r="BK49" s="286"/>
      <c r="BL49" s="291"/>
      <c r="BM49" s="104" t="s">
        <v>86</v>
      </c>
      <c r="BN49" s="240"/>
      <c r="BO49" s="292" t="s">
        <v>131</v>
      </c>
      <c r="BP49" s="240"/>
      <c r="BQ49" s="261" t="s">
        <v>203</v>
      </c>
      <c r="BR49" s="237" t="s">
        <v>150</v>
      </c>
      <c r="BS49" s="261" t="s">
        <v>203</v>
      </c>
      <c r="BT49" s="104"/>
      <c r="BU49" s="237" t="s">
        <v>150</v>
      </c>
      <c r="BV49" s="156">
        <v>142</v>
      </c>
      <c r="BW49" s="156">
        <v>949</v>
      </c>
      <c r="BX49" s="263" t="s">
        <v>204</v>
      </c>
      <c r="BY49" s="104"/>
      <c r="BZ49" s="237" t="s">
        <v>150</v>
      </c>
      <c r="CA49" s="160" t="s">
        <v>205</v>
      </c>
      <c r="CB49" s="155" t="s">
        <v>23</v>
      </c>
      <c r="CC49" s="293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/>
      <c r="CQ49" s="17"/>
      <c r="CR49" s="17"/>
      <c r="CS49" s="11"/>
      <c r="CT49" s="11"/>
      <c r="CU49" s="11"/>
      <c r="CV49" s="11"/>
      <c r="CW49" s="11"/>
      <c r="CX49" s="11"/>
      <c r="CY49" s="11"/>
      <c r="CZ49" s="11"/>
    </row>
    <row r="50" spans="1:104" ht="18" customHeight="1">
      <c r="A50" s="83"/>
      <c r="B50" s="281"/>
      <c r="C50" s="83"/>
      <c r="D50" s="283"/>
      <c r="E50" s="283"/>
      <c r="F50" s="283"/>
      <c r="G50" s="284"/>
      <c r="H50" s="84"/>
      <c r="I50" s="84"/>
      <c r="J50" s="281"/>
      <c r="K50" s="83"/>
      <c r="L50" s="84"/>
      <c r="M50" s="284"/>
      <c r="N50" s="281"/>
      <c r="O50" s="285"/>
      <c r="P50" s="281"/>
      <c r="Q50" s="83"/>
      <c r="R50" s="83"/>
      <c r="S50" s="83"/>
      <c r="T50" s="281"/>
      <c r="U50" s="285"/>
      <c r="V50" s="285"/>
      <c r="W50" s="285"/>
      <c r="X50" s="281"/>
      <c r="Y50" s="84"/>
      <c r="Z50" s="84"/>
      <c r="AA50" s="84"/>
      <c r="AB50" s="281"/>
      <c r="AC50" s="285"/>
      <c r="AD50" s="284"/>
      <c r="AE50" s="284"/>
      <c r="AF50" s="281"/>
      <c r="AG50" s="286"/>
      <c r="AH50" s="281"/>
      <c r="AI50" s="286"/>
      <c r="AJ50" s="286"/>
      <c r="AK50" s="286"/>
      <c r="AL50" s="286"/>
      <c r="AM50" s="286"/>
      <c r="AN50" s="286"/>
      <c r="AO50" s="286"/>
      <c r="AP50" s="281"/>
      <c r="AQ50" s="286"/>
      <c r="AR50" s="286"/>
      <c r="AS50" s="286"/>
      <c r="AT50" s="286"/>
      <c r="AU50" s="286"/>
      <c r="AV50" s="286"/>
      <c r="AW50" s="281"/>
      <c r="AX50" s="286"/>
      <c r="AY50" s="286"/>
      <c r="AZ50" s="286"/>
      <c r="BA50" s="286"/>
      <c r="BB50" s="286"/>
      <c r="BC50" s="286"/>
      <c r="BD50" s="286"/>
      <c r="BE50" s="286"/>
      <c r="BF50" s="281"/>
      <c r="BG50" s="286"/>
      <c r="BH50" s="286"/>
      <c r="BI50" s="286"/>
      <c r="BJ50" s="281"/>
      <c r="BK50" s="286"/>
      <c r="BL50" s="294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6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/>
      <c r="CQ50" s="17"/>
      <c r="CR50" s="17"/>
      <c r="CS50" s="11"/>
      <c r="CT50" s="11"/>
      <c r="CU50" s="11"/>
      <c r="CV50" s="11"/>
      <c r="CW50" s="11"/>
      <c r="CX50" s="11"/>
      <c r="CY50" s="11"/>
      <c r="CZ50" s="11"/>
    </row>
    <row r="51" spans="1:104" ht="18" customHeight="1">
      <c r="A51" s="286"/>
      <c r="B51" s="308" t="s">
        <v>218</v>
      </c>
      <c r="C51" s="282" t="s">
        <v>229</v>
      </c>
      <c r="D51" s="286"/>
      <c r="E51" s="286"/>
      <c r="F51" s="286"/>
      <c r="G51" s="286"/>
      <c r="H51" s="286"/>
      <c r="I51" s="286"/>
      <c r="J51" s="281"/>
      <c r="K51" s="286"/>
      <c r="L51" s="286"/>
      <c r="M51" s="286"/>
      <c r="N51" s="281"/>
      <c r="O51" s="286"/>
      <c r="P51" s="281"/>
      <c r="Q51" s="286"/>
      <c r="R51" s="286"/>
      <c r="S51" s="286"/>
      <c r="T51" s="281"/>
      <c r="U51" s="289"/>
      <c r="V51" s="289"/>
      <c r="W51" s="289"/>
      <c r="X51" s="281"/>
      <c r="Y51" s="289"/>
      <c r="Z51" s="286"/>
      <c r="AA51" s="286"/>
      <c r="AB51" s="281"/>
      <c r="AC51" s="286"/>
      <c r="AD51" s="324"/>
      <c r="AE51" s="324"/>
      <c r="AF51" s="281"/>
      <c r="AG51" s="286"/>
      <c r="AH51" s="281"/>
      <c r="AI51" s="286"/>
      <c r="AJ51" s="286"/>
      <c r="AK51" s="286"/>
      <c r="AL51" s="286"/>
      <c r="AM51" s="286"/>
      <c r="AN51" s="286"/>
      <c r="AO51" s="286"/>
      <c r="AP51" s="281"/>
      <c r="AQ51" s="286"/>
      <c r="AR51" s="286"/>
      <c r="AS51" s="286"/>
      <c r="AT51" s="286"/>
      <c r="AU51" s="286"/>
      <c r="AV51" s="286"/>
      <c r="AW51" s="281"/>
      <c r="AX51" s="286"/>
      <c r="AY51" s="286"/>
      <c r="AZ51" s="286"/>
      <c r="BA51" s="286"/>
      <c r="BB51" s="286"/>
      <c r="BC51" s="286"/>
      <c r="BD51" s="286"/>
      <c r="BE51" s="286"/>
      <c r="BF51" s="281"/>
      <c r="BG51" s="286"/>
      <c r="BH51" s="286"/>
      <c r="BI51" s="286"/>
      <c r="BJ51" s="281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1:94" ht="18" customHeight="1">
      <c r="A52" s="282"/>
      <c r="B52" s="281"/>
      <c r="C52" s="282"/>
      <c r="D52" s="282"/>
      <c r="E52" s="282"/>
      <c r="F52" s="282"/>
      <c r="G52" s="282"/>
      <c r="H52" s="282"/>
      <c r="I52" s="282"/>
      <c r="J52" s="281"/>
      <c r="K52" s="282"/>
      <c r="L52" s="282"/>
      <c r="M52" s="282"/>
      <c r="N52" s="281"/>
      <c r="O52" s="282"/>
      <c r="P52" s="281"/>
      <c r="Q52" s="282"/>
      <c r="R52" s="282"/>
      <c r="S52" s="282"/>
      <c r="T52" s="281"/>
      <c r="U52" s="282"/>
      <c r="V52" s="282"/>
      <c r="W52" s="282"/>
      <c r="X52" s="281"/>
      <c r="Y52" s="282"/>
      <c r="Z52" s="282"/>
      <c r="AA52" s="282"/>
      <c r="AB52" s="281"/>
      <c r="AC52" s="282"/>
      <c r="AD52" s="282"/>
      <c r="AE52" s="282"/>
      <c r="AF52" s="281"/>
      <c r="AG52" s="282"/>
      <c r="AH52" s="281"/>
      <c r="AI52" s="282"/>
      <c r="AJ52" s="282"/>
      <c r="AK52" s="282"/>
      <c r="AL52" s="282"/>
      <c r="AM52" s="282"/>
      <c r="AN52" s="282"/>
      <c r="AO52" s="282"/>
      <c r="AP52" s="281"/>
      <c r="AQ52" s="282"/>
      <c r="AR52" s="282"/>
      <c r="AS52" s="282"/>
      <c r="AT52" s="282"/>
      <c r="AU52" s="282"/>
      <c r="AV52" s="282"/>
      <c r="AW52" s="281"/>
      <c r="AX52" s="282"/>
      <c r="AY52" s="282"/>
      <c r="AZ52" s="282"/>
      <c r="BA52" s="282"/>
      <c r="BB52" s="282"/>
      <c r="BC52" s="282"/>
      <c r="BD52" s="282"/>
      <c r="BE52" s="282"/>
      <c r="BF52" s="281"/>
      <c r="BG52" s="282"/>
      <c r="BH52" s="282"/>
      <c r="BI52" s="282"/>
      <c r="BJ52" s="281"/>
      <c r="BK52" s="282"/>
      <c r="BL52" s="302"/>
      <c r="BM52" s="303"/>
      <c r="BN52" s="303"/>
      <c r="BO52" s="303"/>
      <c r="BP52" s="303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5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11"/>
    </row>
    <row r="53" spans="1:94" ht="18" customHeight="1">
      <c r="A53" s="282"/>
      <c r="B53" s="281"/>
      <c r="C53" s="282"/>
      <c r="D53" s="282"/>
      <c r="E53" s="282"/>
      <c r="F53" s="282"/>
      <c r="G53" s="282"/>
      <c r="H53" s="282"/>
      <c r="I53" s="282"/>
      <c r="J53" s="281"/>
      <c r="K53" s="282"/>
      <c r="L53" s="282"/>
      <c r="M53" s="282"/>
      <c r="N53" s="281"/>
      <c r="O53" s="282"/>
      <c r="P53" s="281"/>
      <c r="Q53" s="282"/>
      <c r="R53" s="282"/>
      <c r="S53" s="282"/>
      <c r="T53" s="281"/>
      <c r="U53" s="282"/>
      <c r="V53" s="282"/>
      <c r="W53" s="282"/>
      <c r="X53" s="281"/>
      <c r="Y53" s="282"/>
      <c r="Z53" s="282"/>
      <c r="AA53" s="282"/>
      <c r="AB53" s="281"/>
      <c r="AC53" s="282"/>
      <c r="AD53" s="282"/>
      <c r="AE53" s="282"/>
      <c r="AF53" s="281"/>
      <c r="AG53" s="282"/>
      <c r="AH53" s="281"/>
      <c r="AI53" s="282"/>
      <c r="AJ53" s="282"/>
      <c r="AK53" s="282"/>
      <c r="AL53" s="282"/>
      <c r="AM53" s="282"/>
      <c r="AN53" s="282"/>
      <c r="AO53" s="282"/>
      <c r="AP53" s="281"/>
      <c r="AQ53" s="282"/>
      <c r="AR53" s="282"/>
      <c r="AS53" s="282"/>
      <c r="AT53" s="282"/>
      <c r="AU53" s="282"/>
      <c r="AV53" s="282"/>
      <c r="AW53" s="281"/>
      <c r="AX53" s="282"/>
      <c r="AY53" s="282"/>
      <c r="AZ53" s="282"/>
      <c r="BA53" s="282"/>
      <c r="BB53" s="282"/>
      <c r="BC53" s="282"/>
      <c r="BD53" s="282"/>
      <c r="BE53" s="282"/>
      <c r="BF53" s="281"/>
      <c r="BG53" s="282"/>
      <c r="BH53" s="282"/>
      <c r="BI53" s="282"/>
      <c r="BJ53" s="281"/>
      <c r="BK53" s="282"/>
      <c r="BL53" s="291"/>
      <c r="BM53" s="240" t="s">
        <v>206</v>
      </c>
      <c r="BN53" s="240"/>
      <c r="BO53" s="297" t="s">
        <v>130</v>
      </c>
      <c r="BP53" s="240"/>
      <c r="BQ53" s="262" t="s">
        <v>203</v>
      </c>
      <c r="BR53" s="238" t="s">
        <v>150</v>
      </c>
      <c r="BS53" s="262" t="s">
        <v>203</v>
      </c>
      <c r="BT53" s="104"/>
      <c r="BU53" s="238" t="s">
        <v>150</v>
      </c>
      <c r="BV53" s="238" t="s">
        <v>150</v>
      </c>
      <c r="BW53" s="146">
        <f>(R45)</f>
        <v>0.38</v>
      </c>
      <c r="BX53" s="238" t="s">
        <v>150</v>
      </c>
      <c r="BY53" s="104"/>
      <c r="BZ53" s="104">
        <v>0</v>
      </c>
      <c r="CA53" s="148" t="s">
        <v>207</v>
      </c>
      <c r="CB53" s="104" t="s">
        <v>23</v>
      </c>
      <c r="CC53" s="293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11"/>
    </row>
    <row r="54" spans="1:94" ht="18" customHeight="1">
      <c r="A54" s="282"/>
      <c r="B54" s="281"/>
      <c r="C54" s="282"/>
      <c r="D54" s="282"/>
      <c r="E54" s="282"/>
      <c r="F54" s="282"/>
      <c r="G54" s="282"/>
      <c r="H54" s="282"/>
      <c r="I54" s="282"/>
      <c r="J54" s="281"/>
      <c r="K54" s="282"/>
      <c r="L54" s="282"/>
      <c r="M54" s="282"/>
      <c r="N54" s="281"/>
      <c r="O54" s="282"/>
      <c r="P54" s="281"/>
      <c r="Q54" s="282"/>
      <c r="R54" s="282"/>
      <c r="S54" s="282"/>
      <c r="T54" s="281"/>
      <c r="U54" s="282"/>
      <c r="V54" s="282"/>
      <c r="W54" s="282"/>
      <c r="X54" s="281"/>
      <c r="Y54" s="282"/>
      <c r="Z54" s="282"/>
      <c r="AA54" s="282"/>
      <c r="AB54" s="281"/>
      <c r="AC54" s="282"/>
      <c r="AD54" s="282"/>
      <c r="AE54" s="282"/>
      <c r="AF54" s="281"/>
      <c r="AG54" s="282"/>
      <c r="AH54" s="281"/>
      <c r="AI54" s="282"/>
      <c r="AJ54" s="282"/>
      <c r="AK54" s="282"/>
      <c r="AL54" s="282"/>
      <c r="AM54" s="282"/>
      <c r="AN54" s="282"/>
      <c r="AO54" s="282"/>
      <c r="AP54" s="281"/>
      <c r="AQ54" s="282"/>
      <c r="AR54" s="282"/>
      <c r="AS54" s="282"/>
      <c r="AT54" s="282"/>
      <c r="AU54" s="282"/>
      <c r="AV54" s="282"/>
      <c r="AW54" s="281"/>
      <c r="AX54" s="282"/>
      <c r="AY54" s="282"/>
      <c r="AZ54" s="282"/>
      <c r="BA54" s="282"/>
      <c r="BB54" s="282"/>
      <c r="BC54" s="282"/>
      <c r="BD54" s="282"/>
      <c r="BE54" s="282"/>
      <c r="BF54" s="281"/>
      <c r="BG54" s="282"/>
      <c r="BH54" s="282"/>
      <c r="BI54" s="282"/>
      <c r="BJ54" s="281"/>
      <c r="BK54" s="282"/>
      <c r="BL54" s="291"/>
      <c r="BM54" s="104" t="s">
        <v>86</v>
      </c>
      <c r="BN54" s="240"/>
      <c r="BO54" s="292" t="s">
        <v>131</v>
      </c>
      <c r="BP54" s="240"/>
      <c r="BQ54" s="261" t="s">
        <v>203</v>
      </c>
      <c r="BR54" s="237" t="s">
        <v>150</v>
      </c>
      <c r="BS54" s="261" t="s">
        <v>203</v>
      </c>
      <c r="BT54" s="104"/>
      <c r="BU54" s="237" t="s">
        <v>150</v>
      </c>
      <c r="BV54" s="237" t="s">
        <v>150</v>
      </c>
      <c r="BW54" s="263">
        <v>0.86</v>
      </c>
      <c r="BX54" s="263" t="s">
        <v>44</v>
      </c>
      <c r="BY54" s="104"/>
      <c r="BZ54" s="237" t="s">
        <v>150</v>
      </c>
      <c r="CA54" s="157" t="s">
        <v>207</v>
      </c>
      <c r="CB54" s="155" t="s">
        <v>23</v>
      </c>
      <c r="CC54" s="293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11"/>
    </row>
    <row r="55" spans="1:94" ht="18" customHeight="1">
      <c r="A55" s="286"/>
      <c r="B55" s="281"/>
      <c r="C55" s="286"/>
      <c r="D55" s="286"/>
      <c r="E55" s="286"/>
      <c r="F55" s="286"/>
      <c r="G55" s="286"/>
      <c r="H55" s="286"/>
      <c r="I55" s="286"/>
      <c r="J55" s="281"/>
      <c r="K55" s="286"/>
      <c r="L55" s="286"/>
      <c r="M55" s="286"/>
      <c r="N55" s="281"/>
      <c r="O55" s="286"/>
      <c r="P55" s="281"/>
      <c r="Q55" s="286"/>
      <c r="R55" s="286"/>
      <c r="S55" s="286"/>
      <c r="T55" s="281"/>
      <c r="U55" s="286"/>
      <c r="V55" s="286"/>
      <c r="W55" s="286"/>
      <c r="X55" s="281"/>
      <c r="Y55" s="286"/>
      <c r="Z55" s="286"/>
      <c r="AA55" s="286"/>
      <c r="AB55" s="281"/>
      <c r="AC55" s="286"/>
      <c r="AD55" s="286"/>
      <c r="AE55" s="286"/>
      <c r="AF55" s="281"/>
      <c r="AG55" s="282"/>
      <c r="AH55" s="281"/>
      <c r="AI55" s="282"/>
      <c r="AJ55" s="282"/>
      <c r="AK55" s="282"/>
      <c r="AL55" s="282"/>
      <c r="AM55" s="282"/>
      <c r="AN55" s="282"/>
      <c r="AO55" s="282"/>
      <c r="AP55" s="281"/>
      <c r="AQ55" s="282"/>
      <c r="AR55" s="282"/>
      <c r="AS55" s="282"/>
      <c r="AT55" s="282"/>
      <c r="AU55" s="282"/>
      <c r="AV55" s="282"/>
      <c r="AW55" s="281"/>
      <c r="AX55" s="282"/>
      <c r="AY55" s="282"/>
      <c r="AZ55" s="282"/>
      <c r="BA55" s="282"/>
      <c r="BB55" s="282"/>
      <c r="BC55" s="282"/>
      <c r="BD55" s="282"/>
      <c r="BE55" s="282"/>
      <c r="BF55" s="281"/>
      <c r="BG55" s="282"/>
      <c r="BH55" s="282"/>
      <c r="BI55" s="282"/>
      <c r="BJ55" s="281"/>
      <c r="BK55" s="282"/>
      <c r="BL55" s="294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6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11"/>
    </row>
    <row r="56" spans="1:94" ht="18" customHeight="1">
      <c r="A56" s="286"/>
      <c r="B56" s="281"/>
      <c r="C56" s="286"/>
      <c r="D56" s="286"/>
      <c r="E56" s="286"/>
      <c r="F56" s="286"/>
      <c r="G56" s="286"/>
      <c r="H56" s="286"/>
      <c r="I56" s="286"/>
      <c r="J56" s="281"/>
      <c r="K56" s="286"/>
      <c r="L56" s="286"/>
      <c r="M56" s="286"/>
      <c r="N56" s="281"/>
      <c r="O56" s="286"/>
      <c r="P56" s="281"/>
      <c r="Q56" s="286"/>
      <c r="R56" s="286"/>
      <c r="S56" s="286"/>
      <c r="T56" s="281"/>
      <c r="U56" s="286"/>
      <c r="V56" s="286"/>
      <c r="W56" s="286"/>
      <c r="X56" s="281"/>
      <c r="Y56" s="286"/>
      <c r="Z56" s="286"/>
      <c r="AA56" s="286"/>
      <c r="AB56" s="281"/>
      <c r="AC56" s="286"/>
      <c r="AD56" s="286"/>
      <c r="AE56" s="286"/>
      <c r="AF56" s="281"/>
      <c r="AG56" s="282"/>
      <c r="AH56" s="281"/>
      <c r="AI56" s="282"/>
      <c r="AJ56" s="282"/>
      <c r="AK56" s="282"/>
      <c r="AL56" s="282"/>
      <c r="AM56" s="282"/>
      <c r="AN56" s="282"/>
      <c r="AO56" s="282"/>
      <c r="AP56" s="281"/>
      <c r="AQ56" s="282"/>
      <c r="AR56" s="282"/>
      <c r="AS56" s="282"/>
      <c r="AT56" s="282"/>
      <c r="AU56" s="282"/>
      <c r="AV56" s="282"/>
      <c r="AW56" s="281"/>
      <c r="AX56" s="282"/>
      <c r="AY56" s="282"/>
      <c r="AZ56" s="282"/>
      <c r="BA56" s="282"/>
      <c r="BB56" s="282"/>
      <c r="BC56" s="282"/>
      <c r="BD56" s="282"/>
      <c r="BE56" s="282"/>
      <c r="BF56" s="281"/>
      <c r="BG56" s="282"/>
      <c r="BH56" s="282"/>
      <c r="BI56" s="282"/>
      <c r="BJ56" s="281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11"/>
    </row>
    <row r="57" spans="1:94" ht="18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1"/>
      <c r="O57" s="282"/>
      <c r="P57" s="281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1"/>
      <c r="AC57" s="286"/>
      <c r="AD57" s="286"/>
      <c r="AE57" s="286"/>
      <c r="AF57" s="286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1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11"/>
    </row>
    <row r="58" spans="1:94" ht="18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1"/>
      <c r="O58" s="282"/>
      <c r="P58" s="281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11"/>
    </row>
    <row r="59" spans="1:94" ht="18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11"/>
    </row>
    <row r="60" spans="1:94" ht="1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11"/>
    </row>
    <row r="61" spans="66:93" ht="15" customHeight="1">
      <c r="BN61" s="11"/>
      <c r="BP61" s="11"/>
      <c r="BT61" s="11"/>
      <c r="BY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</row>
    <row r="62" spans="66:93" ht="15" customHeight="1">
      <c r="BN62" s="11"/>
      <c r="BP62" s="11"/>
      <c r="BT62" s="11"/>
      <c r="BY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</row>
    <row r="63" spans="66:93" ht="15" customHeight="1">
      <c r="BN63" s="11"/>
      <c r="BP63" s="11"/>
      <c r="BT63" s="11"/>
      <c r="BY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</row>
    <row r="64" spans="82:93" ht="15" customHeight="1"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82:93" ht="15" customHeight="1"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82:93" ht="15" customHeight="1"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82:93" ht="15" customHeight="1"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82:93" ht="15" customHeight="1"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</row>
    <row r="69" spans="82:93" ht="15" customHeight="1"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</row>
    <row r="70" spans="82:93" ht="15" customHeight="1"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82:93" ht="15" customHeight="1"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82:93" ht="15" customHeight="1"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</sheetData>
  <sheetProtection/>
  <mergeCells count="29">
    <mergeCell ref="AD51:AE51"/>
    <mergeCell ref="Y5:AA5"/>
    <mergeCell ref="AI5:AO5"/>
    <mergeCell ref="C5:I5"/>
    <mergeCell ref="Q5:S5"/>
    <mergeCell ref="K5:M5"/>
    <mergeCell ref="U5:W5"/>
    <mergeCell ref="AC4:AE4"/>
    <mergeCell ref="AC5:AE5"/>
    <mergeCell ref="Q49:R49"/>
    <mergeCell ref="AL49:AM49"/>
    <mergeCell ref="BM5:CC5"/>
    <mergeCell ref="BZ7:CC7"/>
    <mergeCell ref="AS49:AT49"/>
    <mergeCell ref="BH2:BI2"/>
    <mergeCell ref="BQ7:BS7"/>
    <mergeCell ref="BU7:BX7"/>
    <mergeCell ref="BG5:BI5"/>
    <mergeCell ref="AQ5:AV5"/>
    <mergeCell ref="AX5:BE5"/>
    <mergeCell ref="CJ33:CK33"/>
    <mergeCell ref="CJ35:CK35"/>
    <mergeCell ref="CJ37:CK37"/>
    <mergeCell ref="CL2:CM2"/>
    <mergeCell ref="CF5:CM5"/>
    <mergeCell ref="CG9:CH9"/>
    <mergeCell ref="CJ9:CK9"/>
    <mergeCell ref="CG7:CH7"/>
    <mergeCell ref="CJ7:CK7"/>
  </mergeCells>
  <printOptions horizontalCentered="1" verticalCentered="1"/>
  <pageMargins left="0.25" right="0.25" top="0.25" bottom="0.25" header="0.25" footer="0.25"/>
  <pageSetup fitToWidth="3" horizontalDpi="300" verticalDpi="300" orientation="landscape" paperSize="5" scale="55" r:id="rId1"/>
  <colBreaks count="2" manualBreakCount="2">
    <brk id="32" max="55" man="1"/>
    <brk id="6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Sewere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Nicholson</dc:creator>
  <cp:keywords/>
  <dc:description/>
  <cp:lastModifiedBy> </cp:lastModifiedBy>
  <cp:lastPrinted>2008-02-28T19:02:17Z</cp:lastPrinted>
  <dcterms:created xsi:type="dcterms:W3CDTF">1998-12-15T16:16:11Z</dcterms:created>
  <dcterms:modified xsi:type="dcterms:W3CDTF">2008-02-28T19:03:34Z</dcterms:modified>
  <cp:category/>
  <cp:version/>
  <cp:contentType/>
  <cp:contentStatus/>
</cp:coreProperties>
</file>